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a.Tse\Desktop\"/>
    </mc:Choice>
  </mc:AlternateContent>
  <xr:revisionPtr revIDLastSave="0" documentId="13_ncr:1_{64454D20-7601-47D0-9D74-DB36F67DBE53}" xr6:coauthVersionLast="47" xr6:coauthVersionMax="47" xr10:uidLastSave="{00000000-0000-0000-0000-000000000000}"/>
  <bookViews>
    <workbookView xWindow="-120" yWindow="-120" windowWidth="20730" windowHeight="11160" xr2:uid="{F3FD5AE7-E6EE-491F-B605-F2C1447FFB9B}"/>
  </bookViews>
  <sheets>
    <sheet name="HCBS EFMAP Spending Plan Update" sheetId="5" r:id="rId1"/>
    <sheet name="Claiming" sheetId="6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6" l="1"/>
  <c r="B27" i="6"/>
  <c r="C17" i="6"/>
  <c r="B17" i="6"/>
  <c r="C8" i="6"/>
  <c r="B4" i="6"/>
  <c r="R26" i="5"/>
  <c r="Q26" i="5"/>
  <c r="N26" i="5"/>
  <c r="M26" i="5"/>
  <c r="L26" i="5"/>
  <c r="J26" i="5"/>
  <c r="I26" i="5"/>
  <c r="H26" i="5"/>
  <c r="G26" i="5"/>
  <c r="F26" i="5"/>
  <c r="K25" i="5"/>
  <c r="E25" i="5"/>
  <c r="E26" i="5" s="1"/>
  <c r="V24" i="5"/>
  <c r="W24" i="5" s="1"/>
  <c r="T24" i="5"/>
  <c r="P24" i="5"/>
  <c r="K24" i="5"/>
  <c r="T23" i="5"/>
  <c r="P23" i="5"/>
  <c r="K23" i="5"/>
  <c r="T22" i="5"/>
  <c r="P22" i="5"/>
  <c r="K22" i="5"/>
  <c r="T21" i="5"/>
  <c r="P21" i="5"/>
  <c r="K21" i="5"/>
  <c r="V20" i="5"/>
  <c r="W20" i="5" s="1"/>
  <c r="T20" i="5"/>
  <c r="P20" i="5"/>
  <c r="K20" i="5"/>
  <c r="V19" i="5"/>
  <c r="W19" i="5" s="1"/>
  <c r="T19" i="5"/>
  <c r="T28" i="5" s="1"/>
  <c r="P19" i="5"/>
  <c r="P28" i="5" s="1"/>
  <c r="K19" i="5"/>
  <c r="V18" i="5"/>
  <c r="W18" i="5" s="1"/>
  <c r="T18" i="5"/>
  <c r="P18" i="5"/>
  <c r="K18" i="5"/>
  <c r="V17" i="5"/>
  <c r="W17" i="5" s="1"/>
  <c r="T17" i="5"/>
  <c r="P17" i="5"/>
  <c r="K17" i="5"/>
  <c r="V15" i="5"/>
  <c r="W15" i="5" s="1"/>
  <c r="T15" i="5"/>
  <c r="P15" i="5"/>
  <c r="K15" i="5"/>
  <c r="V14" i="5"/>
  <c r="W14" i="5" s="1"/>
  <c r="T14" i="5"/>
  <c r="P14" i="5"/>
  <c r="K14" i="5"/>
  <c r="V13" i="5"/>
  <c r="W13" i="5" s="1"/>
  <c r="T13" i="5"/>
  <c r="P13" i="5"/>
  <c r="K13" i="5"/>
  <c r="V12" i="5"/>
  <c r="W12" i="5" s="1"/>
  <c r="T12" i="5"/>
  <c r="P12" i="5"/>
  <c r="K12" i="5"/>
  <c r="V11" i="5"/>
  <c r="W11" i="5" s="1"/>
  <c r="T11" i="5"/>
  <c r="P11" i="5"/>
  <c r="K11" i="5"/>
  <c r="V10" i="5"/>
  <c r="W10" i="5" s="1"/>
  <c r="T10" i="5"/>
  <c r="P10" i="5"/>
  <c r="K10" i="5"/>
  <c r="T9" i="5"/>
  <c r="P9" i="5"/>
  <c r="K9" i="5"/>
  <c r="K28" i="5" s="1"/>
  <c r="V8" i="5"/>
  <c r="W8" i="5" s="1"/>
  <c r="T8" i="5"/>
  <c r="P8" i="5"/>
  <c r="K8" i="5"/>
  <c r="V7" i="5"/>
  <c r="W7" i="5" s="1"/>
  <c r="T7" i="5"/>
  <c r="P7" i="5"/>
  <c r="K7" i="5"/>
  <c r="V6" i="5"/>
  <c r="W6" i="5" s="1"/>
  <c r="T6" i="5"/>
  <c r="P6" i="5"/>
  <c r="K6" i="5"/>
  <c r="V5" i="5"/>
  <c r="T5" i="5"/>
  <c r="P5" i="5"/>
  <c r="K5" i="5"/>
  <c r="T2" i="5"/>
  <c r="P2" i="5"/>
  <c r="G2" i="5"/>
  <c r="V22" i="5" s="1"/>
  <c r="V21" i="5" l="1"/>
  <c r="W21" i="5" s="1"/>
  <c r="V23" i="5"/>
  <c r="W23" i="5" s="1"/>
  <c r="T25" i="5"/>
  <c r="S25" i="5" s="1"/>
  <c r="S26" i="5" s="1"/>
  <c r="V9" i="5"/>
  <c r="W9" i="5" s="1"/>
  <c r="W28" i="5" s="1"/>
  <c r="T29" i="5"/>
  <c r="K2" i="5"/>
  <c r="P25" i="5"/>
  <c r="W22" i="5"/>
  <c r="K29" i="5"/>
  <c r="K26" i="5"/>
  <c r="W5" i="5"/>
  <c r="T26" i="5" l="1"/>
  <c r="O25" i="5"/>
  <c r="O26" i="5" s="1"/>
  <c r="P26" i="5"/>
  <c r="V28" i="5"/>
  <c r="P29" i="5"/>
  <c r="W25" i="5"/>
  <c r="V25" i="5" l="1"/>
  <c r="W29" i="5"/>
  <c r="W26" i="5"/>
  <c r="V26" i="5"/>
  <c r="V29" i="5"/>
</calcChain>
</file>

<file path=xl/sharedStrings.xml><?xml version="1.0" encoding="utf-8"?>
<sst xmlns="http://schemas.openxmlformats.org/spreadsheetml/2006/main" count="173" uniqueCount="93">
  <si>
    <t>Q4 FY22 Quarterly Report</t>
  </si>
  <si>
    <t>For benefits, FMAP rate by quarter:</t>
  </si>
  <si>
    <t>ACTUALS/ENCUMBERED - Note Workforce #s are still estimates</t>
  </si>
  <si>
    <t>PROJECTIONS</t>
  </si>
  <si>
    <t>Service Category</t>
  </si>
  <si>
    <t>Investment Area</t>
  </si>
  <si>
    <t>Project</t>
  </si>
  <si>
    <t>Pgs. in FY22 Q4 Narrative</t>
  </si>
  <si>
    <t>All Funds Allocations ($M)</t>
  </si>
  <si>
    <t>FY21 (April - June 2021)</t>
  </si>
  <si>
    <t>Q1 FY22 
(July - Sept 2021)</t>
  </si>
  <si>
    <t>Q2 FY22 (Oct. - Dec).</t>
  </si>
  <si>
    <t>Q3 FY22
(Jan - March 2022)</t>
  </si>
  <si>
    <t>Q4 FY22 (April - June)</t>
  </si>
  <si>
    <t>SFY 22</t>
  </si>
  <si>
    <t>Q1 FY23 
(July - Sept 2022)</t>
  </si>
  <si>
    <t>Q2 FY23 (Oct. - Dec).</t>
  </si>
  <si>
    <t>Q3 FY23
(Jan - March 2023)</t>
  </si>
  <si>
    <t>Q4 FY23 (April - June 2023)</t>
  </si>
  <si>
    <t>SFY 23</t>
  </si>
  <si>
    <t>Q1 FY24 
(July - Sept 2023)</t>
  </si>
  <si>
    <t>Q2 FY24(Oct. - Dec).</t>
  </si>
  <si>
    <t>Q3 FY24
(Jan - March 2024)</t>
  </si>
  <si>
    <t>SFY 24 
(July 2023-March 2024)</t>
  </si>
  <si>
    <t>State Intention to Draw Down Match (Benefits, Admin, IAPD, or None)</t>
  </si>
  <si>
    <t>Federal Share</t>
  </si>
  <si>
    <t>State Share</t>
  </si>
  <si>
    <t xml:space="preserve">LTSS  </t>
  </si>
  <si>
    <t>No Wrong Door Enhancement</t>
  </si>
  <si>
    <t>System Modernization to Improve Access, Choice, &amp; Navigation</t>
  </si>
  <si>
    <t>ADMIN</t>
  </si>
  <si>
    <t>Implementation Assistance</t>
  </si>
  <si>
    <t>13-14</t>
  </si>
  <si>
    <t>Person-Centered Options Counseling Network Expansion</t>
  </si>
  <si>
    <t>Updating Technology</t>
  </si>
  <si>
    <t>Expediate HCBS Access &amp; Optimize Workflow</t>
  </si>
  <si>
    <t>Workforce Development</t>
  </si>
  <si>
    <t>Increasing Access to HCBS</t>
  </si>
  <si>
    <t>Hiring &amp; Retention Incentives: Rate Increases with benefits match</t>
  </si>
  <si>
    <t>16-18</t>
  </si>
  <si>
    <t>BENEFITS</t>
  </si>
  <si>
    <t>Hiring &amp; Retention Incentives: Provider payments with admin match</t>
  </si>
  <si>
    <t>Technical Assistance for Workforce Program Implementation</t>
  </si>
  <si>
    <t>Workforce Training &amp; Other Items</t>
  </si>
  <si>
    <t>Career Awareness and Outreach</t>
  </si>
  <si>
    <t>Advanced Certifications for Direct Care Workers</t>
  </si>
  <si>
    <t>20-21</t>
  </si>
  <si>
    <t>Tuition Waiver Equity Initiative</t>
  </si>
  <si>
    <t>DD</t>
  </si>
  <si>
    <t>Building Infrastructure to Expand Capacity</t>
  </si>
  <si>
    <t>Transformation Grants</t>
  </si>
  <si>
    <t>Children's BH</t>
  </si>
  <si>
    <t>Strengthening the System with a Single Point of Access</t>
  </si>
  <si>
    <t>15, 35-36</t>
  </si>
  <si>
    <t>Mobile Response &amp; Stabilization Services</t>
  </si>
  <si>
    <t>Staffing &amp; Admin to Support Mobile Response</t>
  </si>
  <si>
    <t>Expanding the Home &amp; Community Based Service Array</t>
  </si>
  <si>
    <t>36-38</t>
  </si>
  <si>
    <t>Expanding Care Coordination</t>
  </si>
  <si>
    <t>First Connections</t>
  </si>
  <si>
    <t>Adult BH</t>
  </si>
  <si>
    <t>Certified Community Behavioral Health (CCBHC) Network Expansion</t>
  </si>
  <si>
    <t>40-41</t>
  </si>
  <si>
    <t>Housing</t>
  </si>
  <si>
    <t>HCBS Services to Help Rhode Islanders Experiencing Homeless or Housing Insecurity</t>
  </si>
  <si>
    <t>41-43</t>
  </si>
  <si>
    <t>Oral Health</t>
  </si>
  <si>
    <t>Dental Care in Home Health Settings Pilot</t>
  </si>
  <si>
    <t>44-46</t>
  </si>
  <si>
    <t>Remaining Funding</t>
  </si>
  <si>
    <t>Assumption is Admin match</t>
  </si>
  <si>
    <t>Phase 2 Items as approved in CMS spending plan, amount (overall and by project) and federal match eligibility TBD based after implementation of above; however, this assumes admin match</t>
  </si>
  <si>
    <t>TOTAL, assuming Phase 2 gets ADMIN match</t>
  </si>
  <si>
    <t>ABOVE</t>
  </si>
  <si>
    <t>Q2 FY22 Quarterly Report</t>
  </si>
  <si>
    <t>Quarter</t>
  </si>
  <si>
    <t>Eligible Spending ($M)</t>
  </si>
  <si>
    <t>Enhanced Match Claimed ($M)</t>
  </si>
  <si>
    <t>Note</t>
  </si>
  <si>
    <t>March - June 2021</t>
  </si>
  <si>
    <t>claimed</t>
  </si>
  <si>
    <t>July - September 2021</t>
  </si>
  <si>
    <t>October - December 2021</t>
  </si>
  <si>
    <t>projected, average of first 2 quarter</t>
  </si>
  <si>
    <t>January - March 2022</t>
  </si>
  <si>
    <t>total new state share</t>
  </si>
  <si>
    <t>Q3 FY22 Quarterly Report</t>
  </si>
  <si>
    <t>revised projection, not yet claimed</t>
  </si>
  <si>
    <t>Workforce Development Retention[1]</t>
  </si>
  <si>
    <t>estimate - prior period rate adjustment</t>
  </si>
  <si>
    <t>Note 1: A portion of the Workforce Development Retention Rate Increases (approx. $50M All Funds) will be eligible for eFMAP and add to the above projections</t>
  </si>
  <si>
    <t>Note 2. Updated with FFS claims paid through April 10, 2022.</t>
  </si>
  <si>
    <t>FY2022 Q4 Quarterly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</si>
</sst>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i/>
      <u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4" borderId="2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0" fillId="4" borderId="3" xfId="0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5" fillId="0" borderId="0" xfId="0" applyFont="1"/>
    <xf numFmtId="0" fontId="0" fillId="0" borderId="27" xfId="0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9" xfId="0" applyFont="1" applyBorder="1" applyAlignment="1">
      <alignment vertical="center" wrapText="1"/>
    </xf>
    <xf numFmtId="0" fontId="0" fillId="4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/>
    <xf numFmtId="164" fontId="2" fillId="5" borderId="33" xfId="0" applyNumberFormat="1" applyFont="1" applyFill="1" applyBorder="1" applyAlignment="1">
      <alignment horizontal="center" vertical="center"/>
    </xf>
    <xf numFmtId="164" fontId="2" fillId="4" borderId="34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/>
    </xf>
    <xf numFmtId="0" fontId="1" fillId="0" borderId="0" xfId="0" applyFont="1"/>
    <xf numFmtId="2" fontId="0" fillId="5" borderId="5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9" fontId="0" fillId="3" borderId="0" xfId="0" applyNumberForma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164" fontId="0" fillId="4" borderId="44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164" fontId="0" fillId="4" borderId="45" xfId="0" applyNumberForma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164" fontId="0" fillId="4" borderId="46" xfId="0" applyNumberForma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164" fontId="0" fillId="4" borderId="15" xfId="0" applyNumberForma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0" borderId="45" xfId="0" applyFont="1" applyBorder="1" applyAlignment="1">
      <alignment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0" fillId="4" borderId="49" xfId="0" applyFill="1" applyBorder="1" applyAlignment="1">
      <alignment horizontal="center" vertical="center"/>
    </xf>
    <xf numFmtId="164" fontId="0" fillId="4" borderId="50" xfId="0" applyNumberForma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1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vertical="center" wrapText="1"/>
    </xf>
    <xf numFmtId="0" fontId="2" fillId="0" borderId="52" xfId="0" applyFont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64" fontId="0" fillId="4" borderId="54" xfId="0" applyNumberForma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4" borderId="56" xfId="0" applyFill="1" applyBorder="1" applyAlignment="1">
      <alignment horizontal="center" vertical="center"/>
    </xf>
    <xf numFmtId="164" fontId="0" fillId="4" borderId="57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7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1" fontId="0" fillId="4" borderId="56" xfId="0" applyNumberFormat="1" applyFill="1" applyBorder="1" applyAlignment="1">
      <alignment horizontal="center" vertical="center"/>
    </xf>
    <xf numFmtId="2" fontId="2" fillId="5" borderId="43" xfId="0" applyNumberFormat="1" applyFont="1" applyFill="1" applyBorder="1" applyAlignment="1">
      <alignment horizontal="center" vertical="center"/>
    </xf>
    <xf numFmtId="164" fontId="2" fillId="5" borderId="43" xfId="0" applyNumberFormat="1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1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rigov.sharepoint.com/sites/EOHHS%20&#8211;%20Pulse/Shared%20Documents/American%20Rescue%20Plan%20Act/HCBS%20Enhanced%20FMAP/0.)%20Project%20Management/E-FMAP%20Project%20Portfolio%20&amp;%20Budget%20Trackers/Spending%20Plan_Master%20Project%20&amp;%20Budget%20Tracker.xlsx?37AD14CB" TargetMode="External"/><Relationship Id="rId1" Type="http://schemas.openxmlformats.org/officeDocument/2006/relationships/externalLinkPath" Target="file:///\\37AD14CB\Spending%20Plan_Master%20Project%20&amp;%20Budget%20Track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BS EFMAP Spending Plan Update"/>
      <sheetName val="Budget Entry"/>
      <sheetName val="Claiming"/>
      <sheetName val="CMS Directions"/>
      <sheetName val="Workforce Investments"/>
      <sheetName val="All Projects &amp; Req. Budgets "/>
    </sheetNames>
    <sheetDataSet>
      <sheetData sheetId="0">
        <row r="25">
          <cell r="W25">
            <v>25.085640000000012</v>
          </cell>
        </row>
      </sheetData>
      <sheetData sheetId="1"/>
      <sheetData sheetId="2">
        <row r="27">
          <cell r="F27">
            <v>72.23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55FF-CCF7-420C-81D8-2F8E3456BDD6}">
  <dimension ref="A1:Y29"/>
  <sheetViews>
    <sheetView tabSelected="1" workbookViewId="0">
      <pane xSplit="4" topLeftCell="E1" activePane="topRight" state="frozen"/>
      <selection pane="topRight" activeCell="C3" sqref="C3"/>
    </sheetView>
  </sheetViews>
  <sheetFormatPr defaultRowHeight="15" outlineLevelCol="1" x14ac:dyDescent="0.25"/>
  <cols>
    <col min="1" max="1" width="24" bestFit="1" customWidth="1"/>
    <col min="2" max="2" width="33" customWidth="1"/>
    <col min="3" max="3" width="65.85546875" customWidth="1"/>
    <col min="4" max="4" width="9.5703125" style="72" customWidth="1"/>
    <col min="5" max="5" width="11.7109375" customWidth="1"/>
    <col min="6" max="6" width="14.28515625" customWidth="1"/>
    <col min="7" max="7" width="14.28515625" customWidth="1" outlineLevel="1"/>
    <col min="8" max="10" width="11.7109375" customWidth="1" outlineLevel="1"/>
    <col min="11" max="11" width="9.5703125" bestFit="1" customWidth="1"/>
    <col min="12" max="14" width="9.140625" outlineLevel="1"/>
    <col min="15" max="15" width="10.7109375" customWidth="1" outlineLevel="1"/>
    <col min="16" max="16" width="9.5703125" bestFit="1" customWidth="1"/>
    <col min="17" max="19" width="10.7109375" customWidth="1" outlineLevel="1"/>
    <col min="20" max="20" width="12.140625" customWidth="1"/>
    <col min="21" max="23" width="21.7109375" customWidth="1"/>
  </cols>
  <sheetData>
    <row r="1" spans="1:25" x14ac:dyDescent="0.25">
      <c r="A1" s="70" t="s">
        <v>92</v>
      </c>
    </row>
    <row r="2" spans="1:25" s="56" customFormat="1" x14ac:dyDescent="0.25">
      <c r="C2" s="73" t="s">
        <v>1</v>
      </c>
      <c r="D2" s="74"/>
      <c r="E2" s="75"/>
      <c r="F2" s="76"/>
      <c r="G2" s="77">
        <f>0.5409+0.062</f>
        <v>0.60289999999999999</v>
      </c>
      <c r="H2" s="77">
        <v>0.61080000000000001</v>
      </c>
      <c r="I2" s="77">
        <v>0.61080000000000001</v>
      </c>
      <c r="J2" s="77">
        <v>0.61080000000000001</v>
      </c>
      <c r="K2" s="77">
        <f>ROUND(AVERAGE(G2:J2),4)</f>
        <v>0.60880000000000001</v>
      </c>
      <c r="L2" s="77">
        <v>0.54879999999999995</v>
      </c>
      <c r="M2" s="77">
        <v>0.53959999999999997</v>
      </c>
      <c r="N2" s="77">
        <v>0.53959999999999997</v>
      </c>
      <c r="O2" s="77">
        <v>0.53959999999999997</v>
      </c>
      <c r="P2" s="77">
        <f>ROUND(AVERAGE(L2:O2),4)</f>
        <v>0.54190000000000005</v>
      </c>
      <c r="Q2" s="77">
        <v>0.53959999999999997</v>
      </c>
      <c r="R2" s="77">
        <v>0.56489999999999996</v>
      </c>
      <c r="S2" s="77">
        <v>0.56489999999999996</v>
      </c>
      <c r="T2" s="77">
        <f>ROUND(AVERAGE(Q2:S2),4)</f>
        <v>0.55649999999999999</v>
      </c>
    </row>
    <row r="3" spans="1:25" x14ac:dyDescent="0.25">
      <c r="F3" s="135" t="s">
        <v>2</v>
      </c>
      <c r="G3" s="136"/>
      <c r="H3" s="136"/>
      <c r="I3" s="136"/>
      <c r="J3" s="137" t="s">
        <v>3</v>
      </c>
      <c r="K3" s="138"/>
      <c r="L3" s="138"/>
      <c r="M3" s="138"/>
      <c r="N3" s="138"/>
      <c r="O3" s="138"/>
      <c r="P3" s="138"/>
      <c r="Q3" s="138"/>
      <c r="R3" s="138"/>
      <c r="S3" s="138"/>
      <c r="T3" s="139"/>
    </row>
    <row r="4" spans="1:25" ht="60.75" thickBot="1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2" t="s">
        <v>14</v>
      </c>
      <c r="L4" s="1" t="s">
        <v>15</v>
      </c>
      <c r="M4" s="1" t="s">
        <v>16</v>
      </c>
      <c r="N4" s="1" t="s">
        <v>17</v>
      </c>
      <c r="O4" s="1" t="s">
        <v>18</v>
      </c>
      <c r="P4" s="2" t="s">
        <v>19</v>
      </c>
      <c r="Q4" s="1" t="s">
        <v>20</v>
      </c>
      <c r="R4" s="1" t="s">
        <v>21</v>
      </c>
      <c r="S4" s="1" t="s">
        <v>22</v>
      </c>
      <c r="T4" s="1" t="s">
        <v>23</v>
      </c>
      <c r="U4" s="1" t="s">
        <v>24</v>
      </c>
      <c r="V4" s="1" t="s">
        <v>25</v>
      </c>
      <c r="W4" s="1" t="s">
        <v>26</v>
      </c>
    </row>
    <row r="5" spans="1:25" x14ac:dyDescent="0.25">
      <c r="A5" s="3" t="s">
        <v>27</v>
      </c>
      <c r="B5" s="4" t="s">
        <v>28</v>
      </c>
      <c r="C5" s="5" t="s">
        <v>29</v>
      </c>
      <c r="D5" s="78">
        <v>12</v>
      </c>
      <c r="E5" s="51">
        <v>4.0999999999999996</v>
      </c>
      <c r="F5" s="6">
        <v>0</v>
      </c>
      <c r="G5" s="7">
        <v>0</v>
      </c>
      <c r="H5" s="7">
        <v>0</v>
      </c>
      <c r="I5" s="7">
        <v>0</v>
      </c>
      <c r="J5" s="7">
        <v>1</v>
      </c>
      <c r="K5" s="8">
        <f t="shared" ref="K5:K25" si="0">SUM(G5:J5)</f>
        <v>1</v>
      </c>
      <c r="L5" s="7">
        <v>3.1</v>
      </c>
      <c r="M5" s="9"/>
      <c r="N5" s="9"/>
      <c r="O5" s="9"/>
      <c r="P5" s="8">
        <f t="shared" ref="P5:P24" si="1">SUM(L5:O5)</f>
        <v>3.1</v>
      </c>
      <c r="Q5" s="9"/>
      <c r="R5" s="9"/>
      <c r="S5" s="9">
        <v>0</v>
      </c>
      <c r="T5" s="79">
        <f t="shared" ref="T5:T24" si="2">SUM(Q5:S5)</f>
        <v>0</v>
      </c>
      <c r="U5" s="80" t="s">
        <v>30</v>
      </c>
      <c r="V5" s="81">
        <f>IF(U5="BENEFITS",$F$2*F5+SUMPRODUCT($G$2:$J$2,G5:J5)+SUMPRODUCT($L$2:$O$2,L5:O5)+SUMPRODUCT($Q$2:$S$2,Q5:S5), IF(U5="ADMIN",E5*0.5,"DETERMINE MATCH"))</f>
        <v>2.0499999999999998</v>
      </c>
      <c r="W5" s="81">
        <f>E5-V5</f>
        <v>2.0499999999999998</v>
      </c>
    </row>
    <row r="6" spans="1:25" x14ac:dyDescent="0.25">
      <c r="A6" s="10" t="s">
        <v>27</v>
      </c>
      <c r="B6" s="11" t="s">
        <v>28</v>
      </c>
      <c r="C6" s="12" t="s">
        <v>31</v>
      </c>
      <c r="D6" s="82" t="s">
        <v>32</v>
      </c>
      <c r="E6" s="51">
        <v>0.6</v>
      </c>
      <c r="F6" s="6">
        <v>0</v>
      </c>
      <c r="G6" s="7">
        <v>0</v>
      </c>
      <c r="H6" s="7">
        <v>0</v>
      </c>
      <c r="I6" s="7">
        <v>0</v>
      </c>
      <c r="J6" s="7">
        <v>0.3</v>
      </c>
      <c r="K6" s="8">
        <f t="shared" si="0"/>
        <v>0.3</v>
      </c>
      <c r="L6" s="7">
        <v>0.3</v>
      </c>
      <c r="M6" s="9"/>
      <c r="N6" s="9"/>
      <c r="O6" s="9"/>
      <c r="P6" s="8">
        <f t="shared" si="1"/>
        <v>0.3</v>
      </c>
      <c r="Q6" s="9"/>
      <c r="R6" s="9"/>
      <c r="S6" s="9">
        <v>0</v>
      </c>
      <c r="T6" s="83">
        <f t="shared" si="2"/>
        <v>0</v>
      </c>
      <c r="U6" s="80" t="s">
        <v>30</v>
      </c>
      <c r="V6" s="81">
        <f t="shared" ref="V6:V24" si="3">IF(U6="BENEFITS",$F$2*F6+SUMPRODUCT($G$2:$J$2,G6:J6)+SUMPRODUCT($L$2:$O$2,L6:O6)+SUMPRODUCT($Q$2:$S$2,Q6:S6), IF(U6="ADMIN",E6*0.5,"DETERMINE MATCH"))</f>
        <v>0.3</v>
      </c>
      <c r="W6" s="81">
        <f t="shared" ref="W6:W24" si="4">E6-V6</f>
        <v>0.3</v>
      </c>
    </row>
    <row r="7" spans="1:25" x14ac:dyDescent="0.25">
      <c r="A7" s="10" t="s">
        <v>27</v>
      </c>
      <c r="B7" s="13" t="s">
        <v>28</v>
      </c>
      <c r="C7" s="12" t="s">
        <v>33</v>
      </c>
      <c r="D7" s="82">
        <v>13</v>
      </c>
      <c r="E7" s="63">
        <v>0.5</v>
      </c>
      <c r="F7" s="6">
        <v>0</v>
      </c>
      <c r="G7" s="7">
        <v>0</v>
      </c>
      <c r="H7" s="7">
        <v>0</v>
      </c>
      <c r="I7" s="7">
        <v>0</v>
      </c>
      <c r="J7" s="7">
        <v>0</v>
      </c>
      <c r="K7" s="8">
        <f t="shared" si="0"/>
        <v>0</v>
      </c>
      <c r="L7" s="7">
        <v>0.5</v>
      </c>
      <c r="M7" s="9"/>
      <c r="N7" s="9"/>
      <c r="O7" s="9"/>
      <c r="P7" s="8">
        <f t="shared" si="1"/>
        <v>0.5</v>
      </c>
      <c r="Q7" s="9"/>
      <c r="R7" s="9"/>
      <c r="S7" s="9">
        <v>0</v>
      </c>
      <c r="T7" s="83">
        <f t="shared" si="2"/>
        <v>0</v>
      </c>
      <c r="U7" s="80" t="s">
        <v>30</v>
      </c>
      <c r="V7" s="81">
        <f t="shared" si="3"/>
        <v>0.25</v>
      </c>
      <c r="W7" s="81">
        <f t="shared" si="4"/>
        <v>0.25</v>
      </c>
    </row>
    <row r="8" spans="1:25" ht="15.75" thickBot="1" x14ac:dyDescent="0.3">
      <c r="A8" s="14" t="s">
        <v>27</v>
      </c>
      <c r="B8" s="15" t="s">
        <v>34</v>
      </c>
      <c r="C8" s="16" t="s">
        <v>35</v>
      </c>
      <c r="D8" s="84">
        <v>47</v>
      </c>
      <c r="E8" s="64">
        <v>1.6</v>
      </c>
      <c r="F8" s="17">
        <v>0</v>
      </c>
      <c r="G8" s="18">
        <v>0</v>
      </c>
      <c r="H8" s="18">
        <v>0</v>
      </c>
      <c r="I8" s="18">
        <v>0</v>
      </c>
      <c r="J8" s="18">
        <v>0</v>
      </c>
      <c r="K8" s="54">
        <f t="shared" si="0"/>
        <v>0</v>
      </c>
      <c r="L8" s="18">
        <v>1.6</v>
      </c>
      <c r="M8" s="20"/>
      <c r="N8" s="20"/>
      <c r="O8" s="20"/>
      <c r="P8" s="8">
        <f t="shared" si="1"/>
        <v>1.6</v>
      </c>
      <c r="Q8" s="20"/>
      <c r="R8" s="20"/>
      <c r="S8" s="20">
        <v>0</v>
      </c>
      <c r="T8" s="85">
        <f t="shared" si="2"/>
        <v>0</v>
      </c>
      <c r="U8" s="86" t="s">
        <v>30</v>
      </c>
      <c r="V8" s="87">
        <f t="shared" si="3"/>
        <v>0.8</v>
      </c>
      <c r="W8" s="87">
        <f t="shared" si="4"/>
        <v>0.8</v>
      </c>
    </row>
    <row r="9" spans="1:25" x14ac:dyDescent="0.25">
      <c r="A9" s="10" t="s">
        <v>36</v>
      </c>
      <c r="B9" s="21" t="s">
        <v>37</v>
      </c>
      <c r="C9" s="12" t="s">
        <v>38</v>
      </c>
      <c r="D9" s="82" t="s">
        <v>39</v>
      </c>
      <c r="E9" s="65">
        <v>58.1</v>
      </c>
      <c r="F9" s="22">
        <v>0</v>
      </c>
      <c r="G9" s="23">
        <v>0</v>
      </c>
      <c r="H9" s="7">
        <v>0</v>
      </c>
      <c r="I9" s="7">
        <v>50</v>
      </c>
      <c r="J9" s="23">
        <v>8.1</v>
      </c>
      <c r="K9" s="88">
        <f t="shared" si="0"/>
        <v>58.1</v>
      </c>
      <c r="L9" s="7">
        <v>0</v>
      </c>
      <c r="M9" s="9"/>
      <c r="N9" s="9"/>
      <c r="O9" s="9"/>
      <c r="P9" s="8">
        <f t="shared" si="1"/>
        <v>0</v>
      </c>
      <c r="Q9" s="9"/>
      <c r="R9" s="9"/>
      <c r="S9" s="9">
        <v>0</v>
      </c>
      <c r="T9" s="89">
        <f t="shared" si="2"/>
        <v>0</v>
      </c>
      <c r="U9" s="90" t="s">
        <v>40</v>
      </c>
      <c r="V9" s="91">
        <f t="shared" si="3"/>
        <v>35.487479999999998</v>
      </c>
      <c r="W9" s="91">
        <f>E9-V9</f>
        <v>22.612520000000004</v>
      </c>
    </row>
    <row r="10" spans="1:25" x14ac:dyDescent="0.25">
      <c r="A10" s="25" t="s">
        <v>36</v>
      </c>
      <c r="B10" s="26" t="s">
        <v>37</v>
      </c>
      <c r="C10" s="27" t="s">
        <v>41</v>
      </c>
      <c r="D10" s="82" t="s">
        <v>39</v>
      </c>
      <c r="E10" s="65">
        <v>5.9</v>
      </c>
      <c r="F10" s="6">
        <v>0</v>
      </c>
      <c r="G10" s="7">
        <v>0</v>
      </c>
      <c r="H10" s="23">
        <v>0</v>
      </c>
      <c r="I10" s="23">
        <v>0</v>
      </c>
      <c r="J10" s="23">
        <v>5.9</v>
      </c>
      <c r="K10" s="8">
        <f t="shared" si="0"/>
        <v>5.9</v>
      </c>
      <c r="L10" s="23">
        <v>0</v>
      </c>
      <c r="M10" s="24"/>
      <c r="N10" s="24"/>
      <c r="O10" s="24"/>
      <c r="P10" s="8">
        <f t="shared" si="1"/>
        <v>0</v>
      </c>
      <c r="Q10" s="24"/>
      <c r="R10" s="24"/>
      <c r="S10" s="24">
        <v>0</v>
      </c>
      <c r="T10" s="83">
        <f t="shared" si="2"/>
        <v>0</v>
      </c>
      <c r="U10" s="92" t="s">
        <v>30</v>
      </c>
      <c r="V10" s="81">
        <f t="shared" si="3"/>
        <v>2.95</v>
      </c>
      <c r="W10" s="81">
        <f t="shared" si="4"/>
        <v>2.95</v>
      </c>
    </row>
    <row r="11" spans="1:25" x14ac:dyDescent="0.25">
      <c r="A11" s="29" t="s">
        <v>36</v>
      </c>
      <c r="B11" s="26" t="s">
        <v>37</v>
      </c>
      <c r="C11" s="12" t="s">
        <v>42</v>
      </c>
      <c r="D11" s="82">
        <v>18</v>
      </c>
      <c r="E11" s="65">
        <v>1</v>
      </c>
      <c r="F11" s="6">
        <v>0</v>
      </c>
      <c r="G11" s="7">
        <v>0</v>
      </c>
      <c r="H11" s="7">
        <v>0</v>
      </c>
      <c r="I11" s="7">
        <v>0</v>
      </c>
      <c r="J11" s="7">
        <v>1</v>
      </c>
      <c r="K11" s="8">
        <f t="shared" si="0"/>
        <v>1</v>
      </c>
      <c r="L11" s="7">
        <v>0</v>
      </c>
      <c r="M11" s="9"/>
      <c r="N11" s="9"/>
      <c r="O11" s="9"/>
      <c r="P11" s="8">
        <f t="shared" si="1"/>
        <v>0</v>
      </c>
      <c r="Q11" s="9"/>
      <c r="R11" s="9"/>
      <c r="S11" s="9">
        <v>0</v>
      </c>
      <c r="T11" s="83">
        <f t="shared" si="2"/>
        <v>0</v>
      </c>
      <c r="U11" s="80" t="s">
        <v>30</v>
      </c>
      <c r="V11" s="81">
        <f t="shared" si="3"/>
        <v>0.5</v>
      </c>
      <c r="W11" s="81">
        <f t="shared" si="4"/>
        <v>0.5</v>
      </c>
      <c r="Y11" s="30"/>
    </row>
    <row r="12" spans="1:25" x14ac:dyDescent="0.25">
      <c r="A12" s="32" t="s">
        <v>36</v>
      </c>
      <c r="B12" s="31" t="s">
        <v>43</v>
      </c>
      <c r="C12" s="93" t="s">
        <v>44</v>
      </c>
      <c r="D12" s="82">
        <v>18</v>
      </c>
      <c r="E12" s="63">
        <v>1</v>
      </c>
      <c r="F12" s="6">
        <v>0</v>
      </c>
      <c r="G12" s="7">
        <v>0</v>
      </c>
      <c r="H12" s="7">
        <v>0</v>
      </c>
      <c r="I12" s="7">
        <v>0</v>
      </c>
      <c r="J12" s="7">
        <v>0.2</v>
      </c>
      <c r="K12" s="8">
        <f t="shared" si="0"/>
        <v>0.2</v>
      </c>
      <c r="L12" s="7">
        <v>0.6</v>
      </c>
      <c r="M12" s="9"/>
      <c r="N12" s="9"/>
      <c r="O12" s="9"/>
      <c r="P12" s="8">
        <f t="shared" si="1"/>
        <v>0.6</v>
      </c>
      <c r="Q12" s="9"/>
      <c r="R12" s="9"/>
      <c r="S12" s="9">
        <v>0.2</v>
      </c>
      <c r="T12" s="83">
        <f t="shared" si="2"/>
        <v>0.2</v>
      </c>
      <c r="U12" s="80" t="s">
        <v>30</v>
      </c>
      <c r="V12" s="81">
        <f t="shared" si="3"/>
        <v>0.5</v>
      </c>
      <c r="W12" s="81">
        <f t="shared" si="4"/>
        <v>0.5</v>
      </c>
    </row>
    <row r="13" spans="1:25" x14ac:dyDescent="0.25">
      <c r="A13" s="29" t="s">
        <v>36</v>
      </c>
      <c r="B13" s="94" t="s">
        <v>43</v>
      </c>
      <c r="C13" s="27" t="s">
        <v>45</v>
      </c>
      <c r="D13" s="78" t="s">
        <v>46</v>
      </c>
      <c r="E13" s="65">
        <v>3</v>
      </c>
      <c r="F13" s="22">
        <v>0</v>
      </c>
      <c r="G13" s="23">
        <v>0</v>
      </c>
      <c r="H13" s="23">
        <v>0</v>
      </c>
      <c r="I13" s="23">
        <v>0</v>
      </c>
      <c r="J13" s="23">
        <v>0.2</v>
      </c>
      <c r="K13" s="8">
        <f t="shared" si="0"/>
        <v>0.2</v>
      </c>
      <c r="L13" s="23">
        <v>1.8</v>
      </c>
      <c r="M13" s="24"/>
      <c r="N13" s="24"/>
      <c r="O13" s="24"/>
      <c r="P13" s="28">
        <f t="shared" si="1"/>
        <v>1.8</v>
      </c>
      <c r="Q13" s="24"/>
      <c r="R13" s="24"/>
      <c r="S13" s="24">
        <v>1</v>
      </c>
      <c r="T13" s="79">
        <f t="shared" si="2"/>
        <v>1</v>
      </c>
      <c r="U13" s="90" t="s">
        <v>30</v>
      </c>
      <c r="V13" s="81">
        <f t="shared" si="3"/>
        <v>1.5</v>
      </c>
      <c r="W13" s="81">
        <f t="shared" si="4"/>
        <v>1.5</v>
      </c>
    </row>
    <row r="14" spans="1:25" ht="15.75" thickBot="1" x14ac:dyDescent="0.3">
      <c r="A14" s="29" t="s">
        <v>36</v>
      </c>
      <c r="B14" s="33" t="s">
        <v>43</v>
      </c>
      <c r="C14" s="16" t="s">
        <v>47</v>
      </c>
      <c r="D14" s="84">
        <v>20</v>
      </c>
      <c r="E14" s="64">
        <v>3</v>
      </c>
      <c r="F14" s="6">
        <v>0</v>
      </c>
      <c r="G14" s="7">
        <v>0</v>
      </c>
      <c r="H14" s="18">
        <v>0</v>
      </c>
      <c r="I14" s="18">
        <v>0</v>
      </c>
      <c r="J14" s="18">
        <v>0.2</v>
      </c>
      <c r="K14" s="19">
        <f t="shared" si="0"/>
        <v>0.2</v>
      </c>
      <c r="L14" s="18">
        <v>1.8</v>
      </c>
      <c r="M14" s="20"/>
      <c r="N14" s="20"/>
      <c r="O14" s="20"/>
      <c r="P14" s="19">
        <f t="shared" si="1"/>
        <v>1.8</v>
      </c>
      <c r="Q14" s="20"/>
      <c r="R14" s="20"/>
      <c r="S14" s="20">
        <v>1</v>
      </c>
      <c r="T14" s="85">
        <f t="shared" si="2"/>
        <v>1</v>
      </c>
      <c r="U14" s="95" t="s">
        <v>30</v>
      </c>
      <c r="V14" s="87">
        <f t="shared" si="3"/>
        <v>1.5</v>
      </c>
      <c r="W14" s="87">
        <f t="shared" si="4"/>
        <v>1.5</v>
      </c>
    </row>
    <row r="15" spans="1:25" ht="30.75" thickBot="1" x14ac:dyDescent="0.3">
      <c r="A15" s="34" t="s">
        <v>48</v>
      </c>
      <c r="B15" s="35" t="s">
        <v>49</v>
      </c>
      <c r="C15" s="36" t="s">
        <v>50</v>
      </c>
      <c r="D15" s="96">
        <v>28</v>
      </c>
      <c r="E15" s="66">
        <v>4</v>
      </c>
      <c r="F15" s="37">
        <v>0</v>
      </c>
      <c r="G15" s="38">
        <v>0</v>
      </c>
      <c r="H15" s="39">
        <v>0</v>
      </c>
      <c r="I15" s="39">
        <v>4</v>
      </c>
      <c r="J15" s="39">
        <v>0</v>
      </c>
      <c r="K15" s="97">
        <f t="shared" si="0"/>
        <v>4</v>
      </c>
      <c r="L15" s="39">
        <v>0</v>
      </c>
      <c r="M15" s="40"/>
      <c r="N15" s="40"/>
      <c r="O15" s="40"/>
      <c r="P15" s="97">
        <f t="shared" si="1"/>
        <v>0</v>
      </c>
      <c r="Q15" s="40"/>
      <c r="R15" s="40"/>
      <c r="S15" s="40">
        <v>0</v>
      </c>
      <c r="T15" s="98">
        <f t="shared" si="2"/>
        <v>0</v>
      </c>
      <c r="U15" s="99" t="s">
        <v>30</v>
      </c>
      <c r="V15" s="100">
        <f t="shared" si="3"/>
        <v>2</v>
      </c>
      <c r="W15" s="100">
        <f t="shared" si="4"/>
        <v>2</v>
      </c>
    </row>
    <row r="16" spans="1:25" x14ac:dyDescent="0.25">
      <c r="A16" s="101" t="s">
        <v>51</v>
      </c>
      <c r="B16" s="21" t="s">
        <v>28</v>
      </c>
      <c r="C16" s="102" t="s">
        <v>52</v>
      </c>
      <c r="D16" s="103" t="s">
        <v>53</v>
      </c>
      <c r="E16" s="104">
        <v>0.25</v>
      </c>
      <c r="F16" s="105">
        <v>0</v>
      </c>
      <c r="G16" s="106">
        <v>0</v>
      </c>
      <c r="H16" s="107">
        <v>0</v>
      </c>
      <c r="I16" s="107">
        <v>0</v>
      </c>
      <c r="J16" s="107">
        <v>0</v>
      </c>
      <c r="K16" s="88">
        <v>0</v>
      </c>
      <c r="L16" s="106">
        <v>0.25</v>
      </c>
      <c r="M16" s="108"/>
      <c r="N16" s="108"/>
      <c r="O16" s="108"/>
      <c r="P16" s="88">
        <v>0.25</v>
      </c>
      <c r="Q16" s="109"/>
      <c r="R16" s="109"/>
      <c r="S16" s="109">
        <v>0</v>
      </c>
      <c r="T16" s="110">
        <v>0</v>
      </c>
      <c r="U16" s="111" t="s">
        <v>30</v>
      </c>
      <c r="V16" s="112">
        <v>0.125</v>
      </c>
      <c r="W16" s="112">
        <v>0.125</v>
      </c>
    </row>
    <row r="17" spans="1:23" ht="30" x14ac:dyDescent="0.25">
      <c r="A17" s="41" t="s">
        <v>51</v>
      </c>
      <c r="B17" s="42" t="s">
        <v>49</v>
      </c>
      <c r="C17" s="27" t="s">
        <v>54</v>
      </c>
      <c r="D17" s="78" t="s">
        <v>53</v>
      </c>
      <c r="E17" s="67">
        <v>5</v>
      </c>
      <c r="F17" s="22">
        <v>0</v>
      </c>
      <c r="G17" s="23">
        <v>0</v>
      </c>
      <c r="H17" s="113">
        <v>0</v>
      </c>
      <c r="I17" s="113">
        <v>0</v>
      </c>
      <c r="J17" s="113">
        <v>0</v>
      </c>
      <c r="K17" s="8">
        <f t="shared" si="0"/>
        <v>0</v>
      </c>
      <c r="L17" s="43">
        <v>5</v>
      </c>
      <c r="M17" s="44"/>
      <c r="N17" s="44"/>
      <c r="O17" s="44"/>
      <c r="P17" s="8">
        <f t="shared" si="1"/>
        <v>5</v>
      </c>
      <c r="Q17" s="114"/>
      <c r="R17" s="114"/>
      <c r="S17" s="114">
        <v>0</v>
      </c>
      <c r="T17" s="83">
        <f t="shared" si="2"/>
        <v>0</v>
      </c>
      <c r="U17" s="80" t="s">
        <v>30</v>
      </c>
      <c r="V17" s="91">
        <f t="shared" si="3"/>
        <v>2.5</v>
      </c>
      <c r="W17" s="91">
        <f t="shared" si="4"/>
        <v>2.5</v>
      </c>
    </row>
    <row r="18" spans="1:23" ht="30" x14ac:dyDescent="0.25">
      <c r="A18" s="41" t="s">
        <v>51</v>
      </c>
      <c r="B18" s="42" t="s">
        <v>49</v>
      </c>
      <c r="C18" s="27" t="s">
        <v>55</v>
      </c>
      <c r="D18" s="78" t="s">
        <v>53</v>
      </c>
      <c r="E18" s="67">
        <v>1</v>
      </c>
      <c r="F18" s="22">
        <v>0</v>
      </c>
      <c r="G18" s="23">
        <v>0</v>
      </c>
      <c r="H18" s="43">
        <v>0</v>
      </c>
      <c r="I18" s="43">
        <v>0</v>
      </c>
      <c r="J18" s="43">
        <v>0</v>
      </c>
      <c r="K18" s="8">
        <f t="shared" si="0"/>
        <v>0</v>
      </c>
      <c r="L18" s="43">
        <v>1</v>
      </c>
      <c r="M18" s="44"/>
      <c r="N18" s="44"/>
      <c r="O18" s="44"/>
      <c r="P18" s="8">
        <f t="shared" si="1"/>
        <v>1</v>
      </c>
      <c r="Q18" s="44"/>
      <c r="R18" s="44"/>
      <c r="S18" s="44">
        <v>0</v>
      </c>
      <c r="T18" s="83">
        <f t="shared" si="2"/>
        <v>0</v>
      </c>
      <c r="U18" s="80" t="s">
        <v>30</v>
      </c>
      <c r="V18" s="81">
        <f t="shared" si="3"/>
        <v>0.5</v>
      </c>
      <c r="W18" s="81">
        <f t="shared" si="4"/>
        <v>0.5</v>
      </c>
    </row>
    <row r="19" spans="1:23" ht="30" x14ac:dyDescent="0.25">
      <c r="A19" s="41" t="s">
        <v>51</v>
      </c>
      <c r="B19" s="42" t="s">
        <v>49</v>
      </c>
      <c r="C19" s="12" t="s">
        <v>56</v>
      </c>
      <c r="D19" s="82" t="s">
        <v>57</v>
      </c>
      <c r="E19" s="63">
        <v>10.1</v>
      </c>
      <c r="F19" s="6">
        <v>0</v>
      </c>
      <c r="G19" s="7">
        <v>0</v>
      </c>
      <c r="H19" s="7">
        <v>0</v>
      </c>
      <c r="I19" s="7">
        <v>0</v>
      </c>
      <c r="J19" s="7">
        <v>0</v>
      </c>
      <c r="K19" s="8">
        <f t="shared" si="0"/>
        <v>0</v>
      </c>
      <c r="L19" s="7">
        <v>10.1</v>
      </c>
      <c r="M19" s="9"/>
      <c r="N19" s="9"/>
      <c r="O19" s="9"/>
      <c r="P19" s="8">
        <f t="shared" si="1"/>
        <v>10.1</v>
      </c>
      <c r="Q19" s="9"/>
      <c r="R19" s="9"/>
      <c r="S19" s="9">
        <v>0</v>
      </c>
      <c r="T19" s="83">
        <f t="shared" si="2"/>
        <v>0</v>
      </c>
      <c r="U19" s="95" t="s">
        <v>40</v>
      </c>
      <c r="V19" s="81">
        <f t="shared" si="3"/>
        <v>5.5428799999999994</v>
      </c>
      <c r="W19" s="81">
        <f t="shared" si="4"/>
        <v>4.5571200000000003</v>
      </c>
    </row>
    <row r="20" spans="1:23" ht="30" x14ac:dyDescent="0.25">
      <c r="A20" s="41" t="s">
        <v>51</v>
      </c>
      <c r="B20" s="42" t="s">
        <v>49</v>
      </c>
      <c r="C20" s="12" t="s">
        <v>58</v>
      </c>
      <c r="D20" s="82" t="s">
        <v>57</v>
      </c>
      <c r="E20" s="63">
        <v>1.5</v>
      </c>
      <c r="F20" s="6">
        <v>0</v>
      </c>
      <c r="G20" s="7">
        <v>0</v>
      </c>
      <c r="H20" s="7">
        <v>0</v>
      </c>
      <c r="I20" s="7">
        <v>0</v>
      </c>
      <c r="J20" s="7">
        <v>0</v>
      </c>
      <c r="K20" s="8">
        <f t="shared" si="0"/>
        <v>0</v>
      </c>
      <c r="L20" s="7">
        <v>1.5</v>
      </c>
      <c r="M20" s="9"/>
      <c r="N20" s="9"/>
      <c r="O20" s="9"/>
      <c r="P20" s="8">
        <f t="shared" si="1"/>
        <v>1.5</v>
      </c>
      <c r="Q20" s="9"/>
      <c r="R20" s="9"/>
      <c r="S20" s="9">
        <v>0</v>
      </c>
      <c r="T20" s="83">
        <f t="shared" si="2"/>
        <v>0</v>
      </c>
      <c r="U20" s="115" t="s">
        <v>30</v>
      </c>
      <c r="V20" s="81">
        <f t="shared" si="3"/>
        <v>0.75</v>
      </c>
      <c r="W20" s="81">
        <f t="shared" si="4"/>
        <v>0.75</v>
      </c>
    </row>
    <row r="21" spans="1:23" ht="30.75" thickBot="1" x14ac:dyDescent="0.3">
      <c r="A21" s="41" t="s">
        <v>51</v>
      </c>
      <c r="B21" s="42" t="s">
        <v>49</v>
      </c>
      <c r="C21" s="12" t="s">
        <v>59</v>
      </c>
      <c r="D21" s="116">
        <v>37</v>
      </c>
      <c r="E21" s="68">
        <v>1.1000000000000001</v>
      </c>
      <c r="F21" s="52">
        <v>0</v>
      </c>
      <c r="G21" s="53">
        <v>0</v>
      </c>
      <c r="H21" s="53">
        <v>0</v>
      </c>
      <c r="I21" s="53">
        <v>0</v>
      </c>
      <c r="J21" s="53">
        <v>0</v>
      </c>
      <c r="K21" s="8">
        <f t="shared" si="0"/>
        <v>0</v>
      </c>
      <c r="L21" s="53">
        <v>1.1000000000000001</v>
      </c>
      <c r="M21" s="55"/>
      <c r="N21" s="55"/>
      <c r="O21" s="55"/>
      <c r="P21" s="8">
        <f t="shared" si="1"/>
        <v>1.1000000000000001</v>
      </c>
      <c r="Q21" s="55"/>
      <c r="R21" s="55"/>
      <c r="S21" s="55">
        <v>0</v>
      </c>
      <c r="T21" s="83">
        <f t="shared" si="2"/>
        <v>0</v>
      </c>
      <c r="U21" s="115" t="s">
        <v>40</v>
      </c>
      <c r="V21" s="81">
        <f t="shared" si="3"/>
        <v>0.60367999999999999</v>
      </c>
      <c r="W21" s="81">
        <f t="shared" si="4"/>
        <v>0.49632000000000009</v>
      </c>
    </row>
    <row r="22" spans="1:23" ht="30.75" thickBot="1" x14ac:dyDescent="0.3">
      <c r="A22" s="45" t="s">
        <v>60</v>
      </c>
      <c r="B22" s="46" t="s">
        <v>49</v>
      </c>
      <c r="C22" s="47" t="s">
        <v>61</v>
      </c>
      <c r="D22" s="117" t="s">
        <v>62</v>
      </c>
      <c r="E22" s="69">
        <v>2</v>
      </c>
      <c r="F22" s="37">
        <v>0</v>
      </c>
      <c r="G22" s="38">
        <v>0</v>
      </c>
      <c r="H22" s="38">
        <v>0</v>
      </c>
      <c r="I22" s="38">
        <v>0</v>
      </c>
      <c r="J22" s="38">
        <v>0</v>
      </c>
      <c r="K22" s="48">
        <f t="shared" si="0"/>
        <v>0</v>
      </c>
      <c r="L22" s="38">
        <v>2</v>
      </c>
      <c r="M22" s="49"/>
      <c r="N22" s="49"/>
      <c r="O22" s="49"/>
      <c r="P22" s="118">
        <f t="shared" si="1"/>
        <v>2</v>
      </c>
      <c r="Q22" s="49"/>
      <c r="R22" s="49"/>
      <c r="S22" s="49">
        <v>0</v>
      </c>
      <c r="T22" s="98">
        <f t="shared" si="2"/>
        <v>0</v>
      </c>
      <c r="U22" s="99" t="s">
        <v>40</v>
      </c>
      <c r="V22" s="100">
        <f t="shared" si="3"/>
        <v>1.0975999999999999</v>
      </c>
      <c r="W22" s="100">
        <f t="shared" si="4"/>
        <v>0.90240000000000009</v>
      </c>
    </row>
    <row r="23" spans="1:23" ht="30.75" thickBot="1" x14ac:dyDescent="0.3">
      <c r="A23" s="50" t="s">
        <v>63</v>
      </c>
      <c r="B23" s="35" t="s">
        <v>49</v>
      </c>
      <c r="C23" s="36" t="s">
        <v>64</v>
      </c>
      <c r="D23" s="96" t="s">
        <v>65</v>
      </c>
      <c r="E23" s="66">
        <v>5</v>
      </c>
      <c r="F23" s="37">
        <v>0</v>
      </c>
      <c r="G23" s="38">
        <v>0</v>
      </c>
      <c r="H23" s="39">
        <v>0</v>
      </c>
      <c r="I23" s="39">
        <v>0</v>
      </c>
      <c r="J23" s="39">
        <v>2.5</v>
      </c>
      <c r="K23" s="97">
        <f t="shared" si="0"/>
        <v>2.5</v>
      </c>
      <c r="L23" s="39">
        <v>2.5</v>
      </c>
      <c r="M23" s="40"/>
      <c r="N23" s="40"/>
      <c r="O23" s="40"/>
      <c r="P23" s="118">
        <f t="shared" si="1"/>
        <v>2.5</v>
      </c>
      <c r="Q23" s="40"/>
      <c r="R23" s="40"/>
      <c r="S23" s="40">
        <v>0</v>
      </c>
      <c r="T23" s="119">
        <f t="shared" si="2"/>
        <v>0</v>
      </c>
      <c r="U23" s="99" t="s">
        <v>40</v>
      </c>
      <c r="V23" s="100">
        <f t="shared" si="3"/>
        <v>2.899</v>
      </c>
      <c r="W23" s="100">
        <f>E23-V23</f>
        <v>2.101</v>
      </c>
    </row>
    <row r="24" spans="1:23" ht="30.75" thickBot="1" x14ac:dyDescent="0.3">
      <c r="A24" s="50" t="s">
        <v>66</v>
      </c>
      <c r="B24" s="35" t="s">
        <v>49</v>
      </c>
      <c r="C24" s="36" t="s">
        <v>67</v>
      </c>
      <c r="D24" s="96" t="s">
        <v>68</v>
      </c>
      <c r="E24" s="66">
        <v>0.5</v>
      </c>
      <c r="F24" s="37">
        <v>0</v>
      </c>
      <c r="G24" s="38">
        <v>0</v>
      </c>
      <c r="H24" s="39">
        <v>0</v>
      </c>
      <c r="I24" s="39">
        <v>0</v>
      </c>
      <c r="J24" s="39">
        <v>0.05</v>
      </c>
      <c r="K24" s="48">
        <f t="shared" si="0"/>
        <v>0.05</v>
      </c>
      <c r="L24" s="39">
        <v>0.45</v>
      </c>
      <c r="M24" s="40"/>
      <c r="N24" s="40"/>
      <c r="O24" s="40"/>
      <c r="P24" s="118">
        <f t="shared" si="1"/>
        <v>0.45</v>
      </c>
      <c r="Q24" s="40"/>
      <c r="R24" s="40"/>
      <c r="S24" s="40">
        <v>0</v>
      </c>
      <c r="T24" s="98">
        <f t="shared" si="2"/>
        <v>0</v>
      </c>
      <c r="U24" s="99" t="s">
        <v>30</v>
      </c>
      <c r="V24" s="100">
        <f t="shared" si="3"/>
        <v>0.25</v>
      </c>
      <c r="W24" s="100">
        <f t="shared" si="4"/>
        <v>0.25</v>
      </c>
    </row>
    <row r="25" spans="1:23" ht="45.75" thickBot="1" x14ac:dyDescent="0.3">
      <c r="A25" s="50" t="s">
        <v>69</v>
      </c>
      <c r="B25" s="120" t="s">
        <v>70</v>
      </c>
      <c r="C25" s="121" t="s">
        <v>71</v>
      </c>
      <c r="D25" s="122"/>
      <c r="E25" s="58">
        <f>'[1]HCBS EFMAP Spending Plan Update'!W25*2</f>
        <v>50.171280000000024</v>
      </c>
      <c r="F25" s="59">
        <v>0</v>
      </c>
      <c r="G25" s="60">
        <v>0</v>
      </c>
      <c r="H25" s="61">
        <v>0</v>
      </c>
      <c r="I25" s="61">
        <v>0</v>
      </c>
      <c r="J25" s="61">
        <v>0</v>
      </c>
      <c r="K25" s="118">
        <f t="shared" si="0"/>
        <v>0</v>
      </c>
      <c r="L25" s="61">
        <v>0</v>
      </c>
      <c r="M25" s="62"/>
      <c r="N25" s="62"/>
      <c r="O25" s="62">
        <f>P25</f>
        <v>33.447520000000019</v>
      </c>
      <c r="P25" s="123">
        <f>E25*2/3</f>
        <v>33.447520000000019</v>
      </c>
      <c r="Q25" s="62"/>
      <c r="R25" s="62"/>
      <c r="S25" s="62">
        <f>T25</f>
        <v>16.723760000000009</v>
      </c>
      <c r="T25" s="98">
        <f>E25*1/3</f>
        <v>16.723760000000009</v>
      </c>
      <c r="U25" s="99" t="s">
        <v>30</v>
      </c>
      <c r="V25" s="100">
        <f>W25</f>
        <v>25.085640000000012</v>
      </c>
      <c r="W25" s="100">
        <f>[1]Claiming!F27-SUM(W5:W24)</f>
        <v>25.085640000000012</v>
      </c>
    </row>
    <row r="26" spans="1:23" ht="15.75" thickBot="1" x14ac:dyDescent="0.3">
      <c r="A26" s="50"/>
      <c r="B26" s="35"/>
      <c r="C26" s="47" t="s">
        <v>72</v>
      </c>
      <c r="D26" s="122"/>
      <c r="E26" s="58">
        <f t="shared" ref="E26:T26" si="5">SUM(E5:E25)</f>
        <v>159.42128000000002</v>
      </c>
      <c r="F26" s="58">
        <f t="shared" si="5"/>
        <v>0</v>
      </c>
      <c r="G26" s="58">
        <f t="shared" si="5"/>
        <v>0</v>
      </c>
      <c r="H26" s="58">
        <f t="shared" si="5"/>
        <v>0</v>
      </c>
      <c r="I26" s="58">
        <f t="shared" si="5"/>
        <v>54</v>
      </c>
      <c r="J26" s="58">
        <f t="shared" si="5"/>
        <v>19.45</v>
      </c>
      <c r="K26" s="124">
        <f t="shared" si="5"/>
        <v>73.45</v>
      </c>
      <c r="L26" s="58">
        <f t="shared" si="5"/>
        <v>33.6</v>
      </c>
      <c r="M26" s="58">
        <f t="shared" si="5"/>
        <v>0</v>
      </c>
      <c r="N26" s="58">
        <f t="shared" si="5"/>
        <v>0</v>
      </c>
      <c r="O26" s="58">
        <f t="shared" si="5"/>
        <v>33.447520000000019</v>
      </c>
      <c r="P26" s="125">
        <f t="shared" si="5"/>
        <v>67.04752000000002</v>
      </c>
      <c r="Q26" s="58">
        <f t="shared" si="5"/>
        <v>0</v>
      </c>
      <c r="R26" s="58">
        <f t="shared" si="5"/>
        <v>0</v>
      </c>
      <c r="S26" s="58">
        <f t="shared" si="5"/>
        <v>18.923760000000009</v>
      </c>
      <c r="T26" s="58">
        <f t="shared" si="5"/>
        <v>18.923760000000009</v>
      </c>
      <c r="U26" s="126" t="s">
        <v>73</v>
      </c>
      <c r="V26" s="71">
        <f>SUM(V5:V25)</f>
        <v>87.191280000000006</v>
      </c>
      <c r="W26" s="71">
        <f>SUM(W5:W25)</f>
        <v>72.23</v>
      </c>
    </row>
    <row r="27" spans="1:23" x14ac:dyDescent="0.25">
      <c r="C27" s="127"/>
    </row>
    <row r="28" spans="1:23" x14ac:dyDescent="0.25">
      <c r="A28" s="128" t="s">
        <v>40</v>
      </c>
      <c r="C28" s="57"/>
      <c r="D28" s="131"/>
      <c r="E28" s="57"/>
      <c r="F28" s="57"/>
      <c r="G28" s="57"/>
      <c r="H28" s="57"/>
      <c r="I28" s="57"/>
      <c r="J28" s="57"/>
      <c r="K28" s="57">
        <f>SUMIFS(K$5:K$25,$U$5:$U$25,$A28)</f>
        <v>60.6</v>
      </c>
      <c r="L28" s="57"/>
      <c r="M28" s="57"/>
      <c r="N28" s="57"/>
      <c r="O28" s="57"/>
      <c r="P28" s="57">
        <f>SUMIFS(P$5:P$25,$U$5:$U$25,$A28)</f>
        <v>15.7</v>
      </c>
      <c r="Q28" s="57"/>
      <c r="R28" s="57"/>
      <c r="S28" s="57"/>
      <c r="T28" s="57">
        <f>SUMIFS(T$5:T$25,$U$5:$U$25,$A28)</f>
        <v>0</v>
      </c>
      <c r="U28" s="57"/>
      <c r="V28" s="57">
        <f>SUMIFS(V$5:V$25,$U$5:$U$25,$A28)</f>
        <v>45.630639999999993</v>
      </c>
      <c r="W28" s="57">
        <f>SUMIFS(W$5:W$25,$U$5:$U$25,$A28)</f>
        <v>30.669360000000005</v>
      </c>
    </row>
    <row r="29" spans="1:23" x14ac:dyDescent="0.25">
      <c r="A29" s="128" t="s">
        <v>30</v>
      </c>
      <c r="C29" s="57"/>
      <c r="D29" s="131"/>
      <c r="E29" s="57"/>
      <c r="F29" s="57"/>
      <c r="G29" s="57"/>
      <c r="H29" s="57"/>
      <c r="I29" s="57"/>
      <c r="J29" s="57"/>
      <c r="K29" s="57">
        <f>SUMIFS(K$5:K$25,$U$5:$U$25,$A29)</f>
        <v>12.849999999999998</v>
      </c>
      <c r="L29" s="57"/>
      <c r="M29" s="57"/>
      <c r="N29" s="57"/>
      <c r="O29" s="57"/>
      <c r="P29" s="57">
        <f>SUMIFS(P$5:P$25,$U$5:$U$25,$A29)</f>
        <v>51.347520000000017</v>
      </c>
      <c r="Q29" s="57"/>
      <c r="R29" s="57"/>
      <c r="S29" s="57"/>
      <c r="T29" s="57">
        <f>SUMIFS(T$5:T$25,$U$5:$U$25,$A29)</f>
        <v>18.923760000000009</v>
      </c>
      <c r="U29" s="57"/>
      <c r="V29" s="57">
        <f>SUMIFS(V$5:V$25,$U$5:$U$25,$A29)</f>
        <v>41.560640000000014</v>
      </c>
      <c r="W29" s="57">
        <f>SUMIFS(W$5:W$25,$U$5:$U$25,$A29)</f>
        <v>41.560640000000014</v>
      </c>
    </row>
  </sheetData>
  <mergeCells count="2">
    <mergeCell ref="F3:I3"/>
    <mergeCell ref="J3:T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6FB3C-3978-4C35-85ED-4774DEA1C201}">
  <dimension ref="A1:D30"/>
  <sheetViews>
    <sheetView workbookViewId="0"/>
  </sheetViews>
  <sheetFormatPr defaultRowHeight="15" outlineLevelRow="1" x14ac:dyDescent="0.25"/>
  <cols>
    <col min="1" max="1" width="34.140625" customWidth="1"/>
    <col min="2" max="2" width="21.140625" bestFit="1" customWidth="1"/>
    <col min="3" max="3" width="28.28515625" bestFit="1" customWidth="1"/>
    <col min="4" max="4" width="36.42578125" bestFit="1" customWidth="1"/>
  </cols>
  <sheetData>
    <row r="1" spans="1:4" x14ac:dyDescent="0.25">
      <c r="A1" s="132" t="s">
        <v>74</v>
      </c>
      <c r="B1" s="133"/>
      <c r="C1" s="133"/>
      <c r="D1" s="133"/>
    </row>
    <row r="3" spans="1:4" outlineLevel="1" x14ac:dyDescent="0.25">
      <c r="A3" s="70" t="s">
        <v>75</v>
      </c>
      <c r="B3" s="70" t="s">
        <v>76</v>
      </c>
      <c r="C3" s="70" t="s">
        <v>77</v>
      </c>
      <c r="D3" s="70" t="s">
        <v>78</v>
      </c>
    </row>
    <row r="4" spans="1:4" outlineLevel="1" x14ac:dyDescent="0.25">
      <c r="A4" t="s">
        <v>79</v>
      </c>
      <c r="B4" s="56">
        <f>B8/4</f>
        <v>149.25</v>
      </c>
      <c r="C4" s="56">
        <v>14.9</v>
      </c>
      <c r="D4" t="s">
        <v>80</v>
      </c>
    </row>
    <row r="5" spans="1:4" outlineLevel="1" x14ac:dyDescent="0.25">
      <c r="A5" t="s">
        <v>81</v>
      </c>
      <c r="B5" s="56">
        <v>149.25</v>
      </c>
      <c r="C5" s="56">
        <v>14.9</v>
      </c>
      <c r="D5" t="s">
        <v>80</v>
      </c>
    </row>
    <row r="6" spans="1:4" outlineLevel="1" x14ac:dyDescent="0.25">
      <c r="A6" t="s">
        <v>82</v>
      </c>
      <c r="B6" s="56">
        <v>149.25</v>
      </c>
      <c r="C6" s="56">
        <v>14.9</v>
      </c>
      <c r="D6" t="s">
        <v>83</v>
      </c>
    </row>
    <row r="7" spans="1:4" outlineLevel="1" x14ac:dyDescent="0.25">
      <c r="A7" t="s">
        <v>84</v>
      </c>
      <c r="B7" s="56">
        <v>149.25</v>
      </c>
      <c r="C7" s="56">
        <v>14.9</v>
      </c>
      <c r="D7" t="s">
        <v>83</v>
      </c>
    </row>
    <row r="8" spans="1:4" outlineLevel="1" x14ac:dyDescent="0.25">
      <c r="B8" s="56">
        <v>597</v>
      </c>
      <c r="C8" s="56">
        <f>SUM(C4:C7)</f>
        <v>59.6</v>
      </c>
      <c r="D8" t="s">
        <v>85</v>
      </c>
    </row>
    <row r="9" spans="1:4" outlineLevel="1" x14ac:dyDescent="0.25">
      <c r="B9" s="56"/>
      <c r="C9" s="56"/>
    </row>
    <row r="10" spans="1:4" outlineLevel="1" x14ac:dyDescent="0.25">
      <c r="A10" s="132" t="s">
        <v>86</v>
      </c>
      <c r="B10" s="134"/>
      <c r="C10" s="134"/>
      <c r="D10" s="133"/>
    </row>
    <row r="11" spans="1:4" outlineLevel="1" x14ac:dyDescent="0.25">
      <c r="B11" s="56"/>
      <c r="C11" s="56"/>
    </row>
    <row r="12" spans="1:4" outlineLevel="1" x14ac:dyDescent="0.25">
      <c r="A12" s="70" t="s">
        <v>75</v>
      </c>
      <c r="B12" s="70" t="s">
        <v>76</v>
      </c>
      <c r="C12" s="70" t="s">
        <v>77</v>
      </c>
      <c r="D12" s="70" t="s">
        <v>78</v>
      </c>
    </row>
    <row r="13" spans="1:4" outlineLevel="1" x14ac:dyDescent="0.25">
      <c r="A13" t="s">
        <v>79</v>
      </c>
      <c r="B13" s="56">
        <v>166.7</v>
      </c>
      <c r="C13" s="56">
        <v>16.399999999999999</v>
      </c>
      <c r="D13" t="s">
        <v>80</v>
      </c>
    </row>
    <row r="14" spans="1:4" outlineLevel="1" x14ac:dyDescent="0.25">
      <c r="A14" t="s">
        <v>81</v>
      </c>
      <c r="B14" s="56">
        <v>170.7</v>
      </c>
      <c r="C14" s="56">
        <v>16.7</v>
      </c>
      <c r="D14" t="s">
        <v>80</v>
      </c>
    </row>
    <row r="15" spans="1:4" outlineLevel="1" x14ac:dyDescent="0.25">
      <c r="A15" t="s">
        <v>82</v>
      </c>
      <c r="B15" s="56">
        <v>168.7</v>
      </c>
      <c r="C15" s="56">
        <v>16.600000000000001</v>
      </c>
      <c r="D15" t="s">
        <v>83</v>
      </c>
    </row>
    <row r="16" spans="1:4" outlineLevel="1" x14ac:dyDescent="0.25">
      <c r="A16" t="s">
        <v>84</v>
      </c>
      <c r="B16" s="56">
        <v>168.7</v>
      </c>
      <c r="C16" s="56">
        <v>16.600000000000001</v>
      </c>
      <c r="D16" t="s">
        <v>83</v>
      </c>
    </row>
    <row r="17" spans="1:4" outlineLevel="1" x14ac:dyDescent="0.25">
      <c r="B17" s="56">
        <f>SUM(B13:B16)</f>
        <v>674.8</v>
      </c>
      <c r="C17" s="56">
        <f>SUM(C13:C16)</f>
        <v>66.3</v>
      </c>
      <c r="D17" t="s">
        <v>85</v>
      </c>
    </row>
    <row r="18" spans="1:4" outlineLevel="1" x14ac:dyDescent="0.25">
      <c r="B18" s="56"/>
      <c r="C18" s="56"/>
    </row>
    <row r="19" spans="1:4" x14ac:dyDescent="0.25">
      <c r="A19" s="132" t="s">
        <v>0</v>
      </c>
      <c r="B19" s="133"/>
      <c r="C19" s="133"/>
      <c r="D19" s="133"/>
    </row>
    <row r="21" spans="1:4" x14ac:dyDescent="0.25">
      <c r="A21" s="70" t="s">
        <v>75</v>
      </c>
      <c r="B21" s="70" t="s">
        <v>76</v>
      </c>
      <c r="C21" s="70" t="s">
        <v>77</v>
      </c>
      <c r="D21" s="70" t="s">
        <v>78</v>
      </c>
    </row>
    <row r="22" spans="1:4" x14ac:dyDescent="0.25">
      <c r="A22" t="s">
        <v>79</v>
      </c>
      <c r="B22" s="129">
        <v>168.5</v>
      </c>
      <c r="C22" s="129">
        <v>16.440000000000001</v>
      </c>
      <c r="D22" t="s">
        <v>80</v>
      </c>
    </row>
    <row r="23" spans="1:4" x14ac:dyDescent="0.25">
      <c r="A23" t="s">
        <v>81</v>
      </c>
      <c r="B23" s="129">
        <v>171.9</v>
      </c>
      <c r="C23" s="129">
        <v>16.73</v>
      </c>
      <c r="D23" t="s">
        <v>80</v>
      </c>
    </row>
    <row r="24" spans="1:4" x14ac:dyDescent="0.25">
      <c r="A24" t="s">
        <v>82</v>
      </c>
      <c r="B24" s="129">
        <v>174.3</v>
      </c>
      <c r="C24" s="129">
        <v>16.96</v>
      </c>
      <c r="D24" t="s">
        <v>87</v>
      </c>
    </row>
    <row r="25" spans="1:4" x14ac:dyDescent="0.25">
      <c r="A25" t="s">
        <v>84</v>
      </c>
      <c r="B25" s="129">
        <v>176</v>
      </c>
      <c r="C25" s="129">
        <v>17.100000000000001</v>
      </c>
      <c r="D25" t="s">
        <v>87</v>
      </c>
    </row>
    <row r="26" spans="1:4" x14ac:dyDescent="0.25">
      <c r="A26" t="s">
        <v>88</v>
      </c>
      <c r="B26" s="129">
        <v>50</v>
      </c>
      <c r="C26" s="129">
        <v>5</v>
      </c>
      <c r="D26" t="s">
        <v>89</v>
      </c>
    </row>
    <row r="27" spans="1:4" x14ac:dyDescent="0.25">
      <c r="B27" s="56">
        <f>SUM(B22:B26)</f>
        <v>740.7</v>
      </c>
      <c r="C27" s="130">
        <f>SUM(C22:C26)</f>
        <v>72.23</v>
      </c>
      <c r="D27" t="s">
        <v>85</v>
      </c>
    </row>
    <row r="29" spans="1:4" x14ac:dyDescent="0.25">
      <c r="A29" t="s">
        <v>90</v>
      </c>
    </row>
    <row r="30" spans="1:4" x14ac:dyDescent="0.25">
      <c r="A30" t="s">
        <v>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1ABC9319E0140B72900DAACF832D6" ma:contentTypeVersion="16" ma:contentTypeDescription="Create a new document." ma:contentTypeScope="" ma:versionID="3b6d309a0f635549e5889e4f880bff4c">
  <xsd:schema xmlns:xsd="http://www.w3.org/2001/XMLSchema" xmlns:xs="http://www.w3.org/2001/XMLSchema" xmlns:p="http://schemas.microsoft.com/office/2006/metadata/properties" xmlns:ns2="2d727684-7218-4c4c-b8f9-db706b5ec5c1" xmlns:ns3="7bdcdbe7-1b59-4267-ac42-6a538006b42e" targetNamespace="http://schemas.microsoft.com/office/2006/metadata/properties" ma:root="true" ma:fieldsID="59989e78ead4ff06888248e0c4ea4f98" ns2:_="" ns3:_="">
    <xsd:import namespace="2d727684-7218-4c4c-b8f9-db706b5ec5c1"/>
    <xsd:import namespace="7bdcdbe7-1b59-4267-ac42-6a538006b4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_x0023_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Checked_x0020_Out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27684-7218-4c4c-b8f9-db706b5ec5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x0023_" ma:index="15" nillable="true" ma:displayName="#" ma:description="Sorting Order" ma:internalName="_x0023_" ma:percentage="FALSE">
      <xsd:simpleType>
        <xsd:restriction base="dms:Number">
          <xsd:minInclusive value="1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hecked_x0020_Out" ma:index="21" nillable="true" ma:displayName="Checked Out" ma:default="1" ma:description="Checked out" ma:internalName="Checked_x0020_Out">
      <xsd:simpleType>
        <xsd:restriction base="dms:Boolea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cdbe7-1b59-4267-ac42-6a538006b4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3_ xmlns="2d727684-7218-4c4c-b8f9-db706b5ec5c1" xsi:nil="true"/>
    <Checked_x0020_Out xmlns="2d727684-7218-4c4c-b8f9-db706b5ec5c1">true</Checked_x0020_Out>
  </documentManagement>
</p:properties>
</file>

<file path=customXml/itemProps1.xml><?xml version="1.0" encoding="utf-8"?>
<ds:datastoreItem xmlns:ds="http://schemas.openxmlformats.org/officeDocument/2006/customXml" ds:itemID="{99B947A0-9CB7-4A57-AD05-7ED8FB29E0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727684-7218-4c4c-b8f9-db706b5ec5c1"/>
    <ds:schemaRef ds:uri="7bdcdbe7-1b59-4267-ac42-6a538006b4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7CDBB6-BD82-4CE8-917A-534420D1A2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FCFDD1-9734-4CC4-BED6-934A2EAEF487}">
  <ds:schemaRefs>
    <ds:schemaRef ds:uri="http://schemas.microsoft.com/office/2006/metadata/properties"/>
    <ds:schemaRef ds:uri="http://schemas.microsoft.com/office/infopath/2007/PartnerControls"/>
    <ds:schemaRef ds:uri="2d727684-7218-4c4c-b8f9-db706b5ec5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HCBS EFMAP Spending Plan Update</vt:lpstr>
      <vt:lpstr>Claiming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Harrigan, Sarah (OHHS)</dc:creator>
  <cp:keywords/>
  <dc:description/>
  <cp:lastModifiedBy>Tse, Lisa (OHHS)</cp:lastModifiedBy>
  <cp:revision/>
  <dcterms:created xsi:type="dcterms:W3CDTF">2022-01-28T16:31:19Z</dcterms:created>
  <dcterms:modified xsi:type="dcterms:W3CDTF">2022-04-18T15:10:20Z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0x0101008851ABC9319E0140B72900DAACF832D6</vt:lpwstr>
  </property>
</Properties>
</file>