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sa.Tse\Desktop\"/>
    </mc:Choice>
  </mc:AlternateContent>
  <xr:revisionPtr revIDLastSave="0" documentId="8_{BDEA260A-C303-454A-8CBA-36CC82BE0E21}" xr6:coauthVersionLast="47" xr6:coauthVersionMax="47" xr10:uidLastSave="{00000000-0000-0000-0000-000000000000}"/>
  <bookViews>
    <workbookView xWindow="-120" yWindow="-120" windowWidth="20730" windowHeight="11160" xr2:uid="{F3FD5AE7-E6EE-491F-B605-F2C1447FFB9B}"/>
  </bookViews>
  <sheets>
    <sheet name="HCBS EFMAP Spending Plan Update" sheetId="5" r:id="rId1"/>
    <sheet name="Claiming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5" l="1"/>
  <c r="M10" i="5" s="1"/>
  <c r="N10" i="5" s="1"/>
  <c r="Y2" i="5"/>
  <c r="T2" i="5"/>
  <c r="L6" i="5" l="1"/>
  <c r="L7" i="5"/>
  <c r="L8" i="5"/>
  <c r="L9" i="5"/>
  <c r="L13" i="5"/>
  <c r="L15" i="5"/>
  <c r="L16" i="5"/>
  <c r="L17" i="5"/>
  <c r="L22" i="5"/>
  <c r="L25" i="5"/>
  <c r="K18" i="5"/>
  <c r="L18" i="5" s="1"/>
  <c r="K14" i="5"/>
  <c r="L14" i="5" s="1"/>
  <c r="P13" i="5"/>
  <c r="P14" i="5"/>
  <c r="P15" i="5"/>
  <c r="P16" i="5"/>
  <c r="P17" i="5"/>
  <c r="P18" i="5"/>
  <c r="P22" i="5"/>
  <c r="P23" i="5"/>
  <c r="P24" i="5"/>
  <c r="P25" i="5"/>
  <c r="U25" i="5"/>
  <c r="U17" i="5"/>
  <c r="U16" i="5"/>
  <c r="U15" i="5"/>
  <c r="U14" i="5"/>
  <c r="U11" i="5"/>
  <c r="U5" i="5"/>
  <c r="J22" i="5"/>
  <c r="H21" i="5"/>
  <c r="H12" i="5"/>
  <c r="H20" i="5" l="1"/>
  <c r="I14" i="5"/>
  <c r="G19" i="5"/>
  <c r="F24" i="5"/>
  <c r="I25" i="5"/>
  <c r="I21" i="5"/>
  <c r="J25" i="5" l="1"/>
  <c r="M18" i="5" l="1"/>
  <c r="N18" i="5" s="1"/>
  <c r="M14" i="5"/>
  <c r="N14" i="5" s="1"/>
  <c r="S16" i="5"/>
  <c r="S15" i="5"/>
  <c r="S13" i="5"/>
  <c r="Q18" i="5"/>
  <c r="X17" i="5"/>
  <c r="V16" i="5"/>
  <c r="X15" i="5"/>
  <c r="V5" i="5"/>
  <c r="W5" i="5" s="1"/>
  <c r="X5" i="5" s="1"/>
  <c r="E26" i="5"/>
  <c r="E29" i="5" s="1"/>
  <c r="D26" i="5"/>
  <c r="J28" i="5"/>
  <c r="Y28" i="5"/>
  <c r="V25" i="5"/>
  <c r="Q25" i="5"/>
  <c r="M25" i="5"/>
  <c r="N25" i="5" s="1"/>
  <c r="S24" i="5"/>
  <c r="Q23" i="5"/>
  <c r="S22" i="5"/>
  <c r="M22" i="5"/>
  <c r="N22" i="5" s="1"/>
  <c r="R17" i="5"/>
  <c r="M17" i="5"/>
  <c r="N17" i="5" s="1"/>
  <c r="M16" i="5"/>
  <c r="N16" i="5" s="1"/>
  <c r="M15" i="5"/>
  <c r="N15" i="5" s="1"/>
  <c r="X14" i="5"/>
  <c r="R14" i="5"/>
  <c r="M13" i="5"/>
  <c r="N13" i="5" s="1"/>
  <c r="M9" i="5"/>
  <c r="N9" i="5" s="1"/>
  <c r="M8" i="5"/>
  <c r="N8" i="5" s="1"/>
  <c r="M7" i="5"/>
  <c r="N7" i="5" s="1"/>
  <c r="M6" i="5"/>
  <c r="N6" i="5" s="1"/>
  <c r="Y6" i="5"/>
  <c r="Y7" i="5"/>
  <c r="Y8" i="5"/>
  <c r="Y9" i="5"/>
  <c r="Y10" i="5"/>
  <c r="Y12" i="5"/>
  <c r="Y13" i="5"/>
  <c r="Y19" i="5"/>
  <c r="Y20" i="5"/>
  <c r="Y21" i="5"/>
  <c r="Y22" i="5"/>
  <c r="Y23" i="5"/>
  <c r="Y24" i="5"/>
  <c r="V11" i="5"/>
  <c r="J6" i="5"/>
  <c r="J7" i="5"/>
  <c r="J8" i="5"/>
  <c r="J9" i="5"/>
  <c r="J10" i="5"/>
  <c r="J11" i="5"/>
  <c r="J13" i="5"/>
  <c r="J15" i="5"/>
  <c r="J16" i="5"/>
  <c r="J17" i="5"/>
  <c r="J18" i="5"/>
  <c r="J23" i="5"/>
  <c r="J5" i="5"/>
  <c r="K26" i="5" l="1"/>
  <c r="K29" i="5" s="1"/>
  <c r="N26" i="5"/>
  <c r="U26" i="5"/>
  <c r="U29" i="5" s="1"/>
  <c r="W25" i="5"/>
  <c r="L26" i="5"/>
  <c r="L29" i="5" s="1"/>
  <c r="P26" i="5"/>
  <c r="P29" i="5" s="1"/>
  <c r="M26" i="5"/>
  <c r="M29" i="5" s="1"/>
  <c r="W11" i="5"/>
  <c r="S23" i="5"/>
  <c r="X25" i="5"/>
  <c r="X11" i="5"/>
  <c r="S25" i="5"/>
  <c r="R25" i="5"/>
  <c r="Q24" i="5"/>
  <c r="R24" i="5"/>
  <c r="R23" i="5"/>
  <c r="Q22" i="5"/>
  <c r="R22" i="5"/>
  <c r="S18" i="5"/>
  <c r="R18" i="5"/>
  <c r="Q17" i="5"/>
  <c r="S17" i="5"/>
  <c r="W17" i="5"/>
  <c r="O17" i="5"/>
  <c r="V17" i="5"/>
  <c r="X16" i="5"/>
  <c r="W16" i="5"/>
  <c r="Y16" i="5" s="1"/>
  <c r="Q16" i="5"/>
  <c r="R16" i="5"/>
  <c r="V15" i="5"/>
  <c r="W15" i="5"/>
  <c r="Y15" i="5" s="1"/>
  <c r="Q15" i="5"/>
  <c r="R15" i="5"/>
  <c r="S14" i="5"/>
  <c r="Q14" i="5"/>
  <c r="Q13" i="5"/>
  <c r="R13" i="5"/>
  <c r="V14" i="5"/>
  <c r="W14" i="5"/>
  <c r="Y5" i="5"/>
  <c r="Y25" i="5" l="1"/>
  <c r="Q26" i="5"/>
  <c r="Q29" i="5" s="1"/>
  <c r="X26" i="5"/>
  <c r="X29" i="5" s="1"/>
  <c r="S26" i="5"/>
  <c r="W26" i="5"/>
  <c r="W29" i="5" s="1"/>
  <c r="V26" i="5"/>
  <c r="V29" i="5" s="1"/>
  <c r="R26" i="5"/>
  <c r="T17" i="5"/>
  <c r="Y18" i="5"/>
  <c r="Y11" i="5"/>
  <c r="Y17" i="5"/>
  <c r="Y14" i="5"/>
  <c r="Y26" i="5" l="1"/>
  <c r="Y29" i="5" s="1"/>
  <c r="J20" i="5" l="1"/>
  <c r="J19" i="5"/>
  <c r="J31" i="5" s="1"/>
  <c r="I26" i="5" l="1"/>
  <c r="I29" i="5" s="1"/>
  <c r="J24" i="5"/>
  <c r="F26" i="5"/>
  <c r="F29" i="5" s="1"/>
  <c r="J12" i="5"/>
  <c r="H26" i="5"/>
  <c r="H29" i="5" s="1"/>
  <c r="G26" i="5"/>
  <c r="G29" i="5" s="1"/>
  <c r="J14" i="5"/>
  <c r="J21" i="5"/>
  <c r="J32" i="5" s="1"/>
  <c r="J26" i="5" l="1"/>
  <c r="J29" i="5" s="1"/>
  <c r="C47" i="6"/>
  <c r="B47" i="6"/>
  <c r="AA15" i="5" l="1"/>
  <c r="AB15" i="5" s="1"/>
  <c r="AA16" i="5"/>
  <c r="AB16" i="5" s="1"/>
  <c r="AA17" i="5"/>
  <c r="AB17" i="5" s="1"/>
  <c r="AA20" i="5"/>
  <c r="AB20" i="5" s="1"/>
  <c r="AA21" i="5"/>
  <c r="AB21" i="5" s="1"/>
  <c r="AA24" i="5"/>
  <c r="AB24" i="5" s="1"/>
  <c r="AA22" i="5"/>
  <c r="AB22" i="5" s="1"/>
  <c r="AA23" i="5"/>
  <c r="AB23" i="5" s="1"/>
  <c r="AA12" i="5"/>
  <c r="AA11" i="5"/>
  <c r="AA7" i="5"/>
  <c r="AB7" i="5" s="1"/>
  <c r="AA6" i="5"/>
  <c r="AA8" i="5"/>
  <c r="AA9" i="5"/>
  <c r="AB9" i="5" s="1"/>
  <c r="AA18" i="5"/>
  <c r="AB18" i="5" s="1"/>
  <c r="AA25" i="5"/>
  <c r="AA14" i="5"/>
  <c r="AB14" i="5" s="1"/>
  <c r="C37" i="6"/>
  <c r="B37" i="6"/>
  <c r="T15" i="5"/>
  <c r="T16" i="5"/>
  <c r="T19" i="5"/>
  <c r="T20" i="5"/>
  <c r="T21" i="5"/>
  <c r="T12" i="5"/>
  <c r="T11" i="5"/>
  <c r="T7" i="5"/>
  <c r="T6" i="5"/>
  <c r="T8" i="5"/>
  <c r="T9" i="5"/>
  <c r="T10" i="5"/>
  <c r="T5" i="5"/>
  <c r="T13" i="5"/>
  <c r="T18" i="5"/>
  <c r="T14" i="5"/>
  <c r="C27" i="6"/>
  <c r="B27" i="6"/>
  <c r="C17" i="6"/>
  <c r="B17" i="6"/>
  <c r="C8" i="6"/>
  <c r="B4" i="6"/>
  <c r="O18" i="5"/>
  <c r="O13" i="5"/>
  <c r="O5" i="5"/>
  <c r="O9" i="5"/>
  <c r="O8" i="5"/>
  <c r="O6" i="5"/>
  <c r="O7" i="5"/>
  <c r="O12" i="5"/>
  <c r="T23" i="5"/>
  <c r="O23" i="5"/>
  <c r="T22" i="5"/>
  <c r="O22" i="5"/>
  <c r="T24" i="5"/>
  <c r="O24" i="5"/>
  <c r="O21" i="5"/>
  <c r="O20" i="5"/>
  <c r="O19" i="5"/>
  <c r="O16" i="5"/>
  <c r="O15" i="5"/>
  <c r="O14" i="5"/>
  <c r="O2" i="5"/>
  <c r="F2" i="5"/>
  <c r="AA19" i="5" l="1"/>
  <c r="J2" i="5"/>
  <c r="T26" i="5"/>
  <c r="O26" i="5"/>
  <c r="AB6" i="5"/>
  <c r="AA10" i="5"/>
  <c r="AB10" i="5" s="1"/>
  <c r="AA13" i="5"/>
  <c r="AB13" i="5" s="1"/>
  <c r="AA5" i="5"/>
  <c r="AB12" i="5"/>
  <c r="AB19" i="5"/>
  <c r="AB5" i="5" l="1"/>
  <c r="AB8" i="5"/>
  <c r="AB28" i="5" s="1"/>
  <c r="AA28" i="5" l="1"/>
  <c r="D28" i="5" s="1"/>
  <c r="D29" i="5" s="1"/>
  <c r="O28" i="5" l="1"/>
  <c r="S28" i="5"/>
  <c r="R28" i="5" l="1"/>
  <c r="S29" i="5"/>
  <c r="N28" i="5"/>
  <c r="N29" i="5" s="1"/>
  <c r="O29" i="5"/>
  <c r="AA29" i="5"/>
  <c r="T28" i="5" l="1"/>
  <c r="T29" i="5" s="1"/>
  <c r="R29" i="5"/>
  <c r="AB29" i="5"/>
  <c r="O31" i="5" l="1"/>
  <c r="Y31" i="5"/>
  <c r="Y32" i="5"/>
  <c r="AA31" i="5"/>
  <c r="AB31" i="5"/>
  <c r="AB32" i="5"/>
  <c r="O32" i="5"/>
  <c r="AA32" i="5"/>
</calcChain>
</file>

<file path=xl/sharedStrings.xml><?xml version="1.0" encoding="utf-8"?>
<sst xmlns="http://schemas.openxmlformats.org/spreadsheetml/2006/main" count="204" uniqueCount="104">
  <si>
    <t>For benefits, FMAP rate by quarter:</t>
  </si>
  <si>
    <t>Actual cash spent (row 9 is still an estimate)</t>
  </si>
  <si>
    <t>Projections</t>
  </si>
  <si>
    <t>Service Category</t>
  </si>
  <si>
    <t>Investment Area</t>
  </si>
  <si>
    <t>Project</t>
  </si>
  <si>
    <t>All Funds Allocations ($M)</t>
  </si>
  <si>
    <t>FY21 (April - June 2021)</t>
  </si>
  <si>
    <t>Q1 FY22 
(July - Sept 2021)</t>
  </si>
  <si>
    <t>Q2 FY22 (Oct - Dec 2021)</t>
  </si>
  <si>
    <t>Q3 FY22
(Jan - March 2022)</t>
  </si>
  <si>
    <t>SFY 22</t>
  </si>
  <si>
    <t>Q1 FY23 
(July - Sept 2022)</t>
  </si>
  <si>
    <t>Q3 FY23
(Jan - March 2023)</t>
  </si>
  <si>
    <t>Q4 FY23 (April - June 2023)</t>
  </si>
  <si>
    <t>Q2 FY24(Oct - Dec 2023)</t>
  </si>
  <si>
    <t>Q3 FY24
(Jan - March 2024)</t>
  </si>
  <si>
    <t>Q4 SFY 24 
(April - June 2024)</t>
  </si>
  <si>
    <t>SFY 24</t>
  </si>
  <si>
    <t>Q1 FY25 (July - Sept 2024)</t>
  </si>
  <si>
    <t>Q2 FY25 (Oct - Dec 2024)</t>
  </si>
  <si>
    <t>Q3 FY25 (Jan - March 2025)</t>
  </si>
  <si>
    <t>SFY 25</t>
  </si>
  <si>
    <t>State Intention to Draw Down Match (Benefits, Admin, IAPD, or None)</t>
  </si>
  <si>
    <t>Federal Share</t>
  </si>
  <si>
    <t>State Share</t>
  </si>
  <si>
    <t xml:space="preserve">LTSS  </t>
  </si>
  <si>
    <t>No Wrong Door Enhancement</t>
  </si>
  <si>
    <t>System Modernization to Improve Access, Choice, &amp; Navigation</t>
  </si>
  <si>
    <t>ADMIN</t>
  </si>
  <si>
    <t>Implementation Assistance</t>
  </si>
  <si>
    <t>Person-Centered Options Counseling Network Expansion</t>
  </si>
  <si>
    <t>Updating Technology</t>
  </si>
  <si>
    <t>Expediate HCBS Access &amp; Optimize Workflow</t>
  </si>
  <si>
    <t>Workforce Development</t>
  </si>
  <si>
    <t>Increasing Access to HCBS</t>
  </si>
  <si>
    <t>Hiring &amp; Retention Incentives: Rate Increases with benefits match</t>
  </si>
  <si>
    <t>BENEFITS</t>
  </si>
  <si>
    <t>Hiring &amp; Retention Incentives: Provider payments via MMIS with admin match</t>
  </si>
  <si>
    <t>Technical Assistance for Workforce Program Implementation</t>
  </si>
  <si>
    <t>Workforce Training &amp; Other Items</t>
  </si>
  <si>
    <t>Career Awareness and Outreach</t>
  </si>
  <si>
    <t>Advanced Certifications for Direct Care Workers</t>
  </si>
  <si>
    <t>Tuition Waiver Equity Initiative</t>
  </si>
  <si>
    <t>DD</t>
  </si>
  <si>
    <t>Building Infrastructure to Expand Capacity</t>
  </si>
  <si>
    <t>Transformation Grants</t>
  </si>
  <si>
    <t>Children's BH</t>
  </si>
  <si>
    <t>Strengthening the System with a Single Point of Access</t>
  </si>
  <si>
    <t>Mobile Response &amp; Stabilization Services</t>
  </si>
  <si>
    <t>Staffing &amp; Admin to Support Mobile Response</t>
  </si>
  <si>
    <t>Expanding the Home &amp; Community Based Service Array</t>
  </si>
  <si>
    <t>Expanding Care Coordination</t>
  </si>
  <si>
    <t>First Connections</t>
  </si>
  <si>
    <t>Adult BH</t>
  </si>
  <si>
    <t>Certified Community Behavioral Health (CCBHC) Network Expansion</t>
  </si>
  <si>
    <t>Housing</t>
  </si>
  <si>
    <t>HCBS Services to Help Rhode Islanders Experiencing Homeless or Housing Insecurity</t>
  </si>
  <si>
    <t>Oral Health</t>
  </si>
  <si>
    <t>Dental Care in Home Health Settings Pilot</t>
  </si>
  <si>
    <t>Overall</t>
  </si>
  <si>
    <t>Contractual support to assist with financial management and reporting for RI's 9817 portfolio</t>
  </si>
  <si>
    <t>Phase 2 Items as approved in CMS spending plan, amount (overall and by project) and federal match eligibility TBD based after implementation of above; however, this assumes admin match</t>
  </si>
  <si>
    <t>TOTAL, assuming Phase 2 gets ADMIN match</t>
  </si>
  <si>
    <t>ABOVE</t>
  </si>
  <si>
    <t>Q2 FY22 Quarterly Report</t>
  </si>
  <si>
    <t>Quarter</t>
  </si>
  <si>
    <t>Eligible Spending ($M)</t>
  </si>
  <si>
    <t>Enhanced Match Claimed ($M)</t>
  </si>
  <si>
    <t>Note</t>
  </si>
  <si>
    <t>March - June 2021</t>
  </si>
  <si>
    <t>claimed</t>
  </si>
  <si>
    <t>July - September 2021</t>
  </si>
  <si>
    <t>October - December 2021</t>
  </si>
  <si>
    <t>projected, average of first 2 quarter</t>
  </si>
  <si>
    <t>January - March 2022</t>
  </si>
  <si>
    <t>total new state share</t>
  </si>
  <si>
    <t>Q3 FY22 Quarterly Report</t>
  </si>
  <si>
    <t>Q4 FY22 Quarterly Report</t>
  </si>
  <si>
    <t>revised projection, not yet claimed</t>
  </si>
  <si>
    <t>Workforce Development Retention[1]</t>
  </si>
  <si>
    <t>estimate - prior period rate adjustment</t>
  </si>
  <si>
    <t>Note 1. A portion of the Workforce Development Retention Rate Increases (approx. $50M All Funds) will be eligible for eFMAP and add to the above projections</t>
  </si>
  <si>
    <t>Q1 FY23 Quarterly Report</t>
  </si>
  <si>
    <t>Note 1. This spending is included in the October-March spending above</t>
  </si>
  <si>
    <t>For October 18, 2022 Submission</t>
  </si>
  <si>
    <t>Actuals Expenditures from:</t>
  </si>
  <si>
    <t>April 2021 to September 30, 2022</t>
  </si>
  <si>
    <t>claimed amounts above, claimed on CMS 64 - June 2022</t>
  </si>
  <si>
    <t>Q2 FY23 Quarterly Report</t>
  </si>
  <si>
    <t>April 2022 - June 2022</t>
  </si>
  <si>
    <t>July 2022 - September 2022</t>
  </si>
  <si>
    <t>October 2022 - December 2022</t>
  </si>
  <si>
    <t>January 2023 - March 2023</t>
  </si>
  <si>
    <t>total new state share to be reinvested.</t>
  </si>
  <si>
    <t>Q4 FY22 (April - June 2022)</t>
  </si>
  <si>
    <t>SFY 23 (ACTUAL AND PROJECTED)</t>
  </si>
  <si>
    <t>Q4 FY25 (April- June 2025)</t>
  </si>
  <si>
    <t>ACTUAL Q1 FY24 
(July - Sept 2023)</t>
  </si>
  <si>
    <t>Total Phase I</t>
  </si>
  <si>
    <t>Phase II Funding</t>
  </si>
  <si>
    <t>Q2 FY23 (Oct - Dec 2022)</t>
  </si>
  <si>
    <t>HIGHLIGHTED FIELDS INDICATE CHANGES FROM JULY 18, 2022 SUBMISSION</t>
  </si>
  <si>
    <t>FY2023 Q2 Quarterly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</si>
</sst>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00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00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0" fillId="0" borderId="0" xfId="0" applyAlignment="1">
      <alignment horizontal="center"/>
    </xf>
    <xf numFmtId="2" fontId="0" fillId="0" borderId="0" xfId="0" applyNumberFormat="1"/>
    <xf numFmtId="0" fontId="1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vertical="top"/>
    </xf>
    <xf numFmtId="9" fontId="0" fillId="3" borderId="0" xfId="0" applyNumberFormat="1" applyFill="1" applyAlignment="1">
      <alignment horizontal="center"/>
    </xf>
    <xf numFmtId="10" fontId="0" fillId="3" borderId="0" xfId="1" applyNumberFormat="1" applyFont="1" applyFill="1" applyAlignment="1">
      <alignment horizontal="center"/>
    </xf>
    <xf numFmtId="0" fontId="0" fillId="0" borderId="3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164" fontId="2" fillId="5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" fillId="4" borderId="0" xfId="0" applyFont="1" applyFill="1"/>
    <xf numFmtId="0" fontId="0" fillId="4" borderId="0" xfId="0" applyFill="1"/>
    <xf numFmtId="0" fontId="0" fillId="4" borderId="0" xfId="0" applyFill="1" applyAlignment="1">
      <alignment horizontal="center"/>
    </xf>
    <xf numFmtId="0" fontId="2" fillId="8" borderId="7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0" fillId="8" borderId="0" xfId="0" applyFill="1"/>
    <xf numFmtId="43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6" fontId="0" fillId="8" borderId="0" xfId="0" applyNumberFormat="1" applyFill="1" applyAlignment="1">
      <alignment horizontal="center"/>
    </xf>
    <xf numFmtId="0" fontId="0" fillId="0" borderId="0" xfId="0" applyFill="1"/>
    <xf numFmtId="166" fontId="0" fillId="0" borderId="0" xfId="0" applyNumberFormat="1" applyFill="1" applyAlignment="1">
      <alignment horizontal="center"/>
    </xf>
    <xf numFmtId="0" fontId="1" fillId="7" borderId="0" xfId="0" applyFont="1" applyFill="1" applyBorder="1" applyAlignment="1"/>
    <xf numFmtId="2" fontId="0" fillId="0" borderId="4" xfId="0" applyNumberFormat="1" applyBorder="1" applyAlignment="1">
      <alignment horizontal="center" vertical="center"/>
    </xf>
    <xf numFmtId="0" fontId="0" fillId="8" borderId="0" xfId="0" applyFill="1" applyAlignment="1">
      <alignment horizontal="left"/>
    </xf>
    <xf numFmtId="0" fontId="4" fillId="2" borderId="0" xfId="0" applyFont="1" applyFill="1" applyAlignment="1">
      <alignment horizontal="center"/>
    </xf>
    <xf numFmtId="165" fontId="0" fillId="0" borderId="0" xfId="0" applyNumberFormat="1"/>
    <xf numFmtId="2" fontId="0" fillId="8" borderId="0" xfId="0" applyNumberFormat="1" applyFill="1"/>
    <xf numFmtId="0" fontId="3" fillId="0" borderId="23" xfId="0" applyFont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0" fillId="4" borderId="11" xfId="0" applyNumberFormat="1" applyFill="1" applyBorder="1" applyAlignment="1">
      <alignment horizontal="center" vertical="center"/>
    </xf>
    <xf numFmtId="2" fontId="0" fillId="8" borderId="3" xfId="0" applyNumberFormat="1" applyFill="1" applyBorder="1" applyAlignment="1">
      <alignment horizontal="center" vertical="center"/>
    </xf>
    <xf numFmtId="2" fontId="0" fillId="8" borderId="1" xfId="0" applyNumberFormat="1" applyFill="1" applyBorder="1" applyAlignment="1">
      <alignment horizontal="center" vertical="center"/>
    </xf>
    <xf numFmtId="2" fontId="0" fillId="8" borderId="4" xfId="0" applyNumberFormat="1" applyFill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164" fontId="2" fillId="0" borderId="18" xfId="0" applyNumberFormat="1" applyFont="1" applyFill="1" applyBorder="1" applyAlignment="1">
      <alignment horizontal="center" vertical="center"/>
    </xf>
    <xf numFmtId="164" fontId="0" fillId="0" borderId="18" xfId="0" applyNumberFormat="1" applyFill="1" applyBorder="1" applyAlignment="1">
      <alignment horizontal="center" vertical="center"/>
    </xf>
    <xf numFmtId="2" fontId="0" fillId="0" borderId="18" xfId="0" applyNumberFormat="1" applyFill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5" borderId="2" xfId="0" applyNumberFormat="1" applyFill="1" applyBorder="1" applyAlignment="1">
      <alignment horizontal="center" vertical="center"/>
    </xf>
    <xf numFmtId="2" fontId="0" fillId="5" borderId="21" xfId="0" applyNumberFormat="1" applyFill="1" applyBorder="1" applyAlignment="1">
      <alignment horizontal="center" vertical="center"/>
    </xf>
    <xf numFmtId="0" fontId="2" fillId="0" borderId="23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164" fontId="7" fillId="5" borderId="16" xfId="0" applyNumberFormat="1" applyFont="1" applyFill="1" applyBorder="1" applyAlignment="1">
      <alignment horizontal="center" vertical="center"/>
    </xf>
    <xf numFmtId="164" fontId="2" fillId="4" borderId="10" xfId="0" applyNumberFormat="1" applyFont="1" applyFill="1" applyBorder="1" applyAlignment="1">
      <alignment horizontal="center" vertical="center"/>
    </xf>
    <xf numFmtId="2" fontId="0" fillId="8" borderId="23" xfId="0" applyNumberFormat="1" applyFill="1" applyBorder="1" applyAlignment="1">
      <alignment horizontal="center" vertical="center"/>
    </xf>
    <xf numFmtId="2" fontId="0" fillId="0" borderId="23" xfId="0" applyNumberFormat="1" applyFill="1" applyBorder="1" applyAlignment="1">
      <alignment horizontal="center" vertical="center"/>
    </xf>
    <xf numFmtId="2" fontId="0" fillId="0" borderId="5" xfId="0" applyNumberFormat="1" applyFill="1" applyBorder="1" applyAlignment="1">
      <alignment horizontal="center" vertical="center"/>
    </xf>
    <xf numFmtId="2" fontId="0" fillId="8" borderId="12" xfId="0" applyNumberFormat="1" applyFill="1" applyBorder="1" applyAlignment="1">
      <alignment horizontal="center" vertical="center"/>
    </xf>
    <xf numFmtId="2" fontId="0" fillId="0" borderId="25" xfId="0" applyNumberForma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2" fontId="0" fillId="4" borderId="26" xfId="0" applyNumberFormat="1" applyFill="1" applyBorder="1" applyAlignment="1">
      <alignment horizontal="center" vertical="center"/>
    </xf>
    <xf numFmtId="44" fontId="0" fillId="0" borderId="0" xfId="2" applyFont="1"/>
    <xf numFmtId="2" fontId="2" fillId="8" borderId="1" xfId="0" applyNumberFormat="1" applyFont="1" applyFill="1" applyBorder="1" applyAlignment="1">
      <alignment horizontal="center" vertical="center"/>
    </xf>
    <xf numFmtId="2" fontId="0" fillId="4" borderId="17" xfId="0" applyNumberFormat="1" applyFill="1" applyBorder="1" applyAlignment="1">
      <alignment horizontal="center" vertical="center"/>
    </xf>
    <xf numFmtId="2" fontId="2" fillId="4" borderId="3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0" fillId="9" borderId="17" xfId="0" applyNumberForma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2" fontId="2" fillId="4" borderId="15" xfId="0" applyNumberFormat="1" applyFont="1" applyFill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8" borderId="4" xfId="0" applyNumberFormat="1" applyFont="1" applyFill="1" applyBorder="1" applyAlignment="1">
      <alignment horizontal="center" vertical="center"/>
    </xf>
    <xf numFmtId="2" fontId="2" fillId="4" borderId="10" xfId="0" applyNumberFormat="1" applyFont="1" applyFill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2" fontId="0" fillId="4" borderId="18" xfId="0" applyNumberFormat="1" applyFill="1" applyBorder="1" applyAlignment="1">
      <alignment horizontal="center" vertical="center"/>
    </xf>
    <xf numFmtId="2" fontId="2" fillId="8" borderId="3" xfId="0" applyNumberFormat="1" applyFont="1" applyFill="1" applyBorder="1" applyAlignment="1">
      <alignment horizontal="center" vertical="center"/>
    </xf>
    <xf numFmtId="10" fontId="8" fillId="3" borderId="0" xfId="1" applyNumberFormat="1" applyFont="1" applyFill="1" applyAlignment="1">
      <alignment horizontal="center"/>
    </xf>
    <xf numFmtId="0" fontId="1" fillId="6" borderId="22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8" borderId="0" xfId="0" applyFont="1" applyFill="1" applyAlignment="1"/>
    <xf numFmtId="2" fontId="0" fillId="4" borderId="27" xfId="0" applyNumberFormat="1" applyFill="1" applyBorder="1" applyAlignment="1">
      <alignment horizontal="center" vertical="center"/>
    </xf>
    <xf numFmtId="2" fontId="0" fillId="4" borderId="28" xfId="0" applyNumberFormat="1" applyFill="1" applyBorder="1" applyAlignment="1">
      <alignment horizontal="center" vertical="center"/>
    </xf>
    <xf numFmtId="2" fontId="2" fillId="5" borderId="16" xfId="0" applyNumberFormat="1" applyFont="1" applyFill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7" fillId="5" borderId="16" xfId="0" applyNumberFormat="1" applyFont="1" applyFill="1" applyBorder="1" applyAlignment="1">
      <alignment horizontal="center" vertical="center"/>
    </xf>
    <xf numFmtId="2" fontId="2" fillId="0" borderId="18" xfId="0" applyNumberFormat="1" applyFont="1" applyFill="1" applyBorder="1" applyAlignment="1">
      <alignment horizontal="center" vertical="center"/>
    </xf>
    <xf numFmtId="164" fontId="2" fillId="5" borderId="7" xfId="0" applyNumberFormat="1" applyFont="1" applyFill="1" applyBorder="1" applyAlignment="1">
      <alignment horizontal="center" vertical="center"/>
    </xf>
    <xf numFmtId="164" fontId="2" fillId="5" borderId="14" xfId="0" applyNumberFormat="1" applyFont="1" applyFill="1" applyBorder="1" applyAlignment="1">
      <alignment horizontal="center" vertical="center"/>
    </xf>
    <xf numFmtId="0" fontId="3" fillId="0" borderId="0" xfId="0" applyFont="1"/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955FF-CCF7-420C-81D8-2F8E3456BDD6}">
  <sheetPr>
    <pageSetUpPr fitToPage="1"/>
  </sheetPr>
  <dimension ref="A1:AB36"/>
  <sheetViews>
    <sheetView tabSelected="1" zoomScale="70" zoomScaleNormal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" sqref="B1"/>
    </sheetView>
  </sheetViews>
  <sheetFormatPr defaultColWidth="9.140625" defaultRowHeight="15" outlineLevelCol="1" x14ac:dyDescent="0.25"/>
  <cols>
    <col min="1" max="1" width="35.5703125" customWidth="1"/>
    <col min="2" max="2" width="33" customWidth="1"/>
    <col min="3" max="3" width="65.85546875" customWidth="1"/>
    <col min="4" max="4" width="11.7109375" customWidth="1"/>
    <col min="5" max="5" width="14.28515625" customWidth="1"/>
    <col min="6" max="6" width="14.28515625" customWidth="1" outlineLevel="1"/>
    <col min="7" max="9" width="11.7109375" customWidth="1" outlineLevel="1"/>
    <col min="10" max="10" width="15.42578125" customWidth="1"/>
    <col min="11" max="13" width="9.140625" customWidth="1" outlineLevel="1"/>
    <col min="14" max="14" width="10.7109375" customWidth="1" outlineLevel="1"/>
    <col min="15" max="15" width="12.5703125" bestFit="1" customWidth="1"/>
    <col min="16" max="16" width="10.7109375" customWidth="1" outlineLevel="1"/>
    <col min="17" max="17" width="11.140625" customWidth="1" outlineLevel="1"/>
    <col min="18" max="18" width="10.7109375" customWidth="1" outlineLevel="1"/>
    <col min="19" max="19" width="11" customWidth="1"/>
    <col min="20" max="20" width="12.140625" customWidth="1"/>
    <col min="21" max="21" width="10.28515625" customWidth="1"/>
    <col min="22" max="24" width="10.85546875" customWidth="1"/>
    <col min="25" max="25" width="12.140625" customWidth="1"/>
    <col min="26" max="28" width="21.7109375" customWidth="1"/>
  </cols>
  <sheetData>
    <row r="1" spans="1:28" x14ac:dyDescent="0.25">
      <c r="A1" s="99" t="s">
        <v>103</v>
      </c>
      <c r="C1" s="90" t="s">
        <v>102</v>
      </c>
      <c r="D1" s="90"/>
      <c r="E1" s="26"/>
    </row>
    <row r="2" spans="1:28" s="5" customFormat="1" x14ac:dyDescent="0.25">
      <c r="A2" s="34" t="s">
        <v>85</v>
      </c>
      <c r="C2" s="8" t="s">
        <v>0</v>
      </c>
      <c r="D2" s="9"/>
      <c r="E2" s="10"/>
      <c r="F2" s="11">
        <f>0.5409+0.062</f>
        <v>0.60289999999999999</v>
      </c>
      <c r="G2" s="11">
        <v>0.61080000000000001</v>
      </c>
      <c r="H2" s="11">
        <v>0.61080000000000001</v>
      </c>
      <c r="I2" s="11">
        <v>0.61080000000000001</v>
      </c>
      <c r="J2" s="87">
        <f>ROUND(AVERAGE(F2:I2),4)</f>
        <v>0.60880000000000001</v>
      </c>
      <c r="K2" s="11">
        <v>0.61080000000000001</v>
      </c>
      <c r="L2" s="11">
        <v>0.61080000000000001</v>
      </c>
      <c r="M2" s="11">
        <v>0.53959999999999997</v>
      </c>
      <c r="N2" s="11">
        <v>0.53959999999999997</v>
      </c>
      <c r="O2" s="87">
        <f>ROUND(AVERAGE(K2:N2),4)</f>
        <v>0.57520000000000004</v>
      </c>
      <c r="P2" s="11">
        <v>0.53959999999999997</v>
      </c>
      <c r="Q2" s="11">
        <v>0.53959999999999997</v>
      </c>
      <c r="R2" s="11">
        <v>0.53959999999999997</v>
      </c>
      <c r="S2" s="11">
        <v>0.53959999999999997</v>
      </c>
      <c r="T2" s="87">
        <f>ROUND(AVERAGE(P2:S2),4)</f>
        <v>0.53959999999999997</v>
      </c>
      <c r="U2" s="11">
        <v>0.53959999999999997</v>
      </c>
      <c r="V2" s="11">
        <v>0.53959999999999997</v>
      </c>
      <c r="W2" s="11">
        <v>0.53959999999999997</v>
      </c>
      <c r="X2" s="11">
        <v>0.53959999999999997</v>
      </c>
      <c r="Y2" s="87">
        <f>ROUND(AVERAGE(U2:X2),4)</f>
        <v>0.53959999999999997</v>
      </c>
    </row>
    <row r="3" spans="1:28" x14ac:dyDescent="0.25">
      <c r="A3" s="34" t="s">
        <v>86</v>
      </c>
      <c r="B3" s="26" t="s">
        <v>87</v>
      </c>
      <c r="E3" s="88" t="s">
        <v>1</v>
      </c>
      <c r="F3" s="89"/>
      <c r="G3" s="89"/>
      <c r="H3" s="89"/>
      <c r="I3" s="89"/>
      <c r="J3" s="89"/>
      <c r="K3" s="89"/>
      <c r="L3" s="32" t="s">
        <v>2</v>
      </c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spans="1:28" ht="99" customHeight="1" thickBot="1" x14ac:dyDescent="0.3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95</v>
      </c>
      <c r="J4" s="2" t="s">
        <v>11</v>
      </c>
      <c r="K4" s="1" t="s">
        <v>12</v>
      </c>
      <c r="L4" s="1" t="s">
        <v>101</v>
      </c>
      <c r="M4" s="1" t="s">
        <v>13</v>
      </c>
      <c r="N4" s="1" t="s">
        <v>14</v>
      </c>
      <c r="O4" s="1" t="s">
        <v>96</v>
      </c>
      <c r="P4" s="1" t="s">
        <v>98</v>
      </c>
      <c r="Q4" s="1" t="s">
        <v>15</v>
      </c>
      <c r="R4" s="1" t="s">
        <v>16</v>
      </c>
      <c r="S4" s="1" t="s">
        <v>17</v>
      </c>
      <c r="T4" s="1" t="s">
        <v>18</v>
      </c>
      <c r="U4" s="1" t="s">
        <v>19</v>
      </c>
      <c r="V4" s="1" t="s">
        <v>20</v>
      </c>
      <c r="W4" s="1" t="s">
        <v>21</v>
      </c>
      <c r="X4" s="1" t="s">
        <v>97</v>
      </c>
      <c r="Y4" s="25" t="s">
        <v>22</v>
      </c>
      <c r="Z4" s="1" t="s">
        <v>23</v>
      </c>
      <c r="AA4" s="1" t="s">
        <v>24</v>
      </c>
      <c r="AB4" s="1" t="s">
        <v>25</v>
      </c>
    </row>
    <row r="5" spans="1:28" ht="30" x14ac:dyDescent="0.25">
      <c r="A5" s="38" t="s">
        <v>54</v>
      </c>
      <c r="B5" s="3" t="s">
        <v>45</v>
      </c>
      <c r="C5" s="4" t="s">
        <v>55</v>
      </c>
      <c r="D5" s="97">
        <v>1.6</v>
      </c>
      <c r="E5" s="75">
        <v>0</v>
      </c>
      <c r="F5" s="76">
        <v>0</v>
      </c>
      <c r="G5" s="76">
        <v>0</v>
      </c>
      <c r="H5" s="76">
        <v>0</v>
      </c>
      <c r="I5" s="76">
        <v>0</v>
      </c>
      <c r="J5" s="74">
        <f>+SUM(F5:I5)</f>
        <v>0</v>
      </c>
      <c r="K5" s="86">
        <v>0</v>
      </c>
      <c r="L5" s="13">
        <v>0</v>
      </c>
      <c r="M5" s="13">
        <v>0</v>
      </c>
      <c r="N5" s="13">
        <v>0</v>
      </c>
      <c r="O5" s="74">
        <f t="shared" ref="O5:O10" si="0">SUM(K5:N5)</f>
        <v>0</v>
      </c>
      <c r="P5" s="94">
        <v>0</v>
      </c>
      <c r="Q5" s="13">
        <v>0</v>
      </c>
      <c r="R5" s="13">
        <v>0</v>
      </c>
      <c r="S5" s="40">
        <v>0</v>
      </c>
      <c r="T5" s="41">
        <f t="shared" ref="T5:T24" si="1">SUM(P5:S5)</f>
        <v>0</v>
      </c>
      <c r="U5" s="42">
        <f>160000/4/100000</f>
        <v>0.4</v>
      </c>
      <c r="V5" s="42">
        <f>+U5</f>
        <v>0.4</v>
      </c>
      <c r="W5" s="42">
        <f>+V5</f>
        <v>0.4</v>
      </c>
      <c r="X5" s="57">
        <f>+W5</f>
        <v>0.4</v>
      </c>
      <c r="Y5" s="71">
        <f>SUM(U5:X5)</f>
        <v>1.6</v>
      </c>
      <c r="Z5" s="12" t="s">
        <v>37</v>
      </c>
      <c r="AA5" s="13">
        <f t="shared" ref="AA5:AA25" si="2">IF(Z5="BENEFITS",$E$2*E5+SUMPRODUCT($F$2:$I$2,F5:I5)+SUMPRODUCT($K$2:$N$2,K5:N5)+SUMPRODUCT($P$2:$S$2,P5:S5)+SUMPRODUCT($U$2:$W$2,U5:W5), IF(Z5="ADMIN",D5*0.5,"DETERMINE MATCH"))</f>
        <v>0.64751999999999998</v>
      </c>
      <c r="AB5" s="13">
        <f t="shared" ref="AB5:AB10" si="3">D5-AA5</f>
        <v>0.9524800000000001</v>
      </c>
    </row>
    <row r="6" spans="1:28" ht="30" x14ac:dyDescent="0.25">
      <c r="A6" s="38" t="s">
        <v>47</v>
      </c>
      <c r="B6" s="3" t="s">
        <v>45</v>
      </c>
      <c r="C6" s="4" t="s">
        <v>50</v>
      </c>
      <c r="D6" s="97">
        <v>1</v>
      </c>
      <c r="E6" s="75">
        <v>0</v>
      </c>
      <c r="F6" s="76">
        <v>0</v>
      </c>
      <c r="G6" s="76">
        <v>0</v>
      </c>
      <c r="H6" s="76">
        <v>0</v>
      </c>
      <c r="I6" s="76">
        <v>0</v>
      </c>
      <c r="J6" s="74">
        <f t="shared" ref="J6:J25" si="4">+SUM(F6:I6)</f>
        <v>0</v>
      </c>
      <c r="K6" s="86">
        <v>0</v>
      </c>
      <c r="L6" s="42">
        <f>1000000/3/1000000</f>
        <v>0.33333333333333331</v>
      </c>
      <c r="M6" s="43">
        <f t="shared" ref="M6:N9" si="5">+L6</f>
        <v>0.33333333333333331</v>
      </c>
      <c r="N6" s="43">
        <f t="shared" si="5"/>
        <v>0.33333333333333331</v>
      </c>
      <c r="O6" s="74">
        <f t="shared" si="0"/>
        <v>1</v>
      </c>
      <c r="P6" s="94">
        <v>0</v>
      </c>
      <c r="Q6" s="13">
        <v>0</v>
      </c>
      <c r="R6" s="13">
        <v>0</v>
      </c>
      <c r="S6" s="40">
        <v>0</v>
      </c>
      <c r="T6" s="41">
        <f t="shared" si="1"/>
        <v>0</v>
      </c>
      <c r="U6" s="39">
        <v>0</v>
      </c>
      <c r="V6" s="39">
        <v>0</v>
      </c>
      <c r="W6" s="39">
        <v>0</v>
      </c>
      <c r="X6" s="58">
        <v>0</v>
      </c>
      <c r="Y6" s="91">
        <f t="shared" ref="Y6:Y28" si="6">SUM(U6:X6)</f>
        <v>0</v>
      </c>
      <c r="Z6" s="12" t="s">
        <v>29</v>
      </c>
      <c r="AA6" s="13">
        <f t="shared" si="2"/>
        <v>0.5</v>
      </c>
      <c r="AB6" s="13">
        <f t="shared" si="3"/>
        <v>0.5</v>
      </c>
    </row>
    <row r="7" spans="1:28" ht="30" x14ac:dyDescent="0.25">
      <c r="A7" s="38" t="s">
        <v>47</v>
      </c>
      <c r="B7" s="3" t="s">
        <v>45</v>
      </c>
      <c r="C7" s="4" t="s">
        <v>49</v>
      </c>
      <c r="D7" s="97">
        <v>5</v>
      </c>
      <c r="E7" s="75">
        <v>0</v>
      </c>
      <c r="F7" s="76">
        <v>0</v>
      </c>
      <c r="G7" s="76">
        <v>0</v>
      </c>
      <c r="H7" s="76">
        <v>0</v>
      </c>
      <c r="I7" s="76">
        <v>0</v>
      </c>
      <c r="J7" s="74">
        <f t="shared" si="4"/>
        <v>0</v>
      </c>
      <c r="K7" s="86">
        <v>0</v>
      </c>
      <c r="L7" s="42">
        <f>5000000/3/1000000</f>
        <v>1.6666666666666667</v>
      </c>
      <c r="M7" s="43">
        <f t="shared" si="5"/>
        <v>1.6666666666666667</v>
      </c>
      <c r="N7" s="43">
        <f t="shared" si="5"/>
        <v>1.6666666666666667</v>
      </c>
      <c r="O7" s="74">
        <f t="shared" si="0"/>
        <v>5</v>
      </c>
      <c r="P7" s="94">
        <v>0</v>
      </c>
      <c r="Q7" s="13">
        <v>0</v>
      </c>
      <c r="R7" s="13">
        <v>0</v>
      </c>
      <c r="S7" s="40">
        <v>0</v>
      </c>
      <c r="T7" s="41">
        <f t="shared" si="1"/>
        <v>0</v>
      </c>
      <c r="U7" s="39">
        <v>0</v>
      </c>
      <c r="V7" s="39">
        <v>0</v>
      </c>
      <c r="W7" s="39">
        <v>0</v>
      </c>
      <c r="X7" s="58">
        <v>0</v>
      </c>
      <c r="Y7" s="91">
        <f t="shared" si="6"/>
        <v>0</v>
      </c>
      <c r="Z7" s="12" t="s">
        <v>29</v>
      </c>
      <c r="AA7" s="13">
        <f t="shared" si="2"/>
        <v>2.5</v>
      </c>
      <c r="AB7" s="13">
        <f t="shared" si="3"/>
        <v>2.5</v>
      </c>
    </row>
    <row r="8" spans="1:28" ht="30" x14ac:dyDescent="0.25">
      <c r="A8" s="38" t="s">
        <v>47</v>
      </c>
      <c r="B8" s="3" t="s">
        <v>45</v>
      </c>
      <c r="C8" s="4" t="s">
        <v>51</v>
      </c>
      <c r="D8" s="97">
        <v>10.1</v>
      </c>
      <c r="E8" s="75">
        <v>0</v>
      </c>
      <c r="F8" s="76">
        <v>0</v>
      </c>
      <c r="G8" s="76">
        <v>0</v>
      </c>
      <c r="H8" s="76">
        <v>0</v>
      </c>
      <c r="I8" s="76">
        <v>0</v>
      </c>
      <c r="J8" s="74">
        <f t="shared" si="4"/>
        <v>0</v>
      </c>
      <c r="K8" s="86">
        <v>0</v>
      </c>
      <c r="L8" s="42">
        <f>10100000/3/1000000</f>
        <v>3.3666666666666667</v>
      </c>
      <c r="M8" s="43">
        <f t="shared" si="5"/>
        <v>3.3666666666666667</v>
      </c>
      <c r="N8" s="43">
        <f t="shared" si="5"/>
        <v>3.3666666666666667</v>
      </c>
      <c r="O8" s="74">
        <f t="shared" si="0"/>
        <v>10.1</v>
      </c>
      <c r="P8" s="94">
        <v>0</v>
      </c>
      <c r="Q8" s="13">
        <v>0</v>
      </c>
      <c r="R8" s="13">
        <v>0</v>
      </c>
      <c r="S8" s="40">
        <v>0</v>
      </c>
      <c r="T8" s="41">
        <f t="shared" si="1"/>
        <v>0</v>
      </c>
      <c r="U8" s="39">
        <v>0</v>
      </c>
      <c r="V8" s="39">
        <v>0</v>
      </c>
      <c r="W8" s="39">
        <v>0</v>
      </c>
      <c r="X8" s="58">
        <v>0</v>
      </c>
      <c r="Y8" s="91">
        <f t="shared" si="6"/>
        <v>0</v>
      </c>
      <c r="Z8" s="12" t="s">
        <v>29</v>
      </c>
      <c r="AA8" s="13">
        <f t="shared" si="2"/>
        <v>5.05</v>
      </c>
      <c r="AB8" s="13">
        <f t="shared" si="3"/>
        <v>5.05</v>
      </c>
    </row>
    <row r="9" spans="1:28" ht="30" x14ac:dyDescent="0.25">
      <c r="A9" s="38" t="s">
        <v>47</v>
      </c>
      <c r="B9" s="3" t="s">
        <v>45</v>
      </c>
      <c r="C9" s="4" t="s">
        <v>52</v>
      </c>
      <c r="D9" s="97">
        <v>1.5</v>
      </c>
      <c r="E9" s="75">
        <v>0</v>
      </c>
      <c r="F9" s="76">
        <v>0</v>
      </c>
      <c r="G9" s="76">
        <v>0</v>
      </c>
      <c r="H9" s="76">
        <v>0</v>
      </c>
      <c r="I9" s="76">
        <v>0</v>
      </c>
      <c r="J9" s="74">
        <f t="shared" si="4"/>
        <v>0</v>
      </c>
      <c r="K9" s="86">
        <v>0</v>
      </c>
      <c r="L9" s="42">
        <f>1500000/3/1000000</f>
        <v>0.5</v>
      </c>
      <c r="M9" s="43">
        <f t="shared" si="5"/>
        <v>0.5</v>
      </c>
      <c r="N9" s="43">
        <f t="shared" si="5"/>
        <v>0.5</v>
      </c>
      <c r="O9" s="74">
        <f t="shared" si="0"/>
        <v>1.5</v>
      </c>
      <c r="P9" s="94">
        <v>0</v>
      </c>
      <c r="Q9" s="13">
        <v>0</v>
      </c>
      <c r="R9" s="13">
        <v>0</v>
      </c>
      <c r="S9" s="40">
        <v>0</v>
      </c>
      <c r="T9" s="41">
        <f t="shared" si="1"/>
        <v>0</v>
      </c>
      <c r="U9" s="39">
        <v>0</v>
      </c>
      <c r="V9" s="39">
        <v>0</v>
      </c>
      <c r="W9" s="39">
        <v>0</v>
      </c>
      <c r="X9" s="58">
        <v>0</v>
      </c>
      <c r="Y9" s="91">
        <f t="shared" si="6"/>
        <v>0</v>
      </c>
      <c r="Z9" s="12" t="s">
        <v>29</v>
      </c>
      <c r="AA9" s="13">
        <f t="shared" si="2"/>
        <v>0.75</v>
      </c>
      <c r="AB9" s="13">
        <f t="shared" si="3"/>
        <v>0.75</v>
      </c>
    </row>
    <row r="10" spans="1:28" ht="30" x14ac:dyDescent="0.25">
      <c r="A10" s="38" t="s">
        <v>47</v>
      </c>
      <c r="B10" s="3" t="s">
        <v>45</v>
      </c>
      <c r="C10" s="4" t="s">
        <v>53</v>
      </c>
      <c r="D10" s="97">
        <v>1.5</v>
      </c>
      <c r="E10" s="75">
        <v>0</v>
      </c>
      <c r="F10" s="76">
        <v>0</v>
      </c>
      <c r="G10" s="76">
        <v>0</v>
      </c>
      <c r="H10" s="76">
        <v>0</v>
      </c>
      <c r="I10" s="76">
        <v>0</v>
      </c>
      <c r="J10" s="77">
        <f t="shared" si="4"/>
        <v>0</v>
      </c>
      <c r="K10" s="86">
        <v>0</v>
      </c>
      <c r="L10" s="42">
        <f>1500000/3/1000000</f>
        <v>0.5</v>
      </c>
      <c r="M10" s="43">
        <f t="shared" ref="M10" si="7">+L10</f>
        <v>0.5</v>
      </c>
      <c r="N10" s="43">
        <f t="shared" ref="N10" si="8">+M10</f>
        <v>0.5</v>
      </c>
      <c r="O10" s="74">
        <v>1.5</v>
      </c>
      <c r="P10" s="94">
        <v>0</v>
      </c>
      <c r="Q10" s="13">
        <v>0</v>
      </c>
      <c r="R10" s="13">
        <v>0</v>
      </c>
      <c r="S10" s="40">
        <v>0</v>
      </c>
      <c r="T10" s="41">
        <f t="shared" si="1"/>
        <v>0</v>
      </c>
      <c r="U10" s="39">
        <v>0</v>
      </c>
      <c r="V10" s="39">
        <v>0</v>
      </c>
      <c r="W10" s="39">
        <v>0</v>
      </c>
      <c r="X10" s="58">
        <v>0</v>
      </c>
      <c r="Y10" s="91">
        <f t="shared" si="6"/>
        <v>0</v>
      </c>
      <c r="Z10" s="12" t="s">
        <v>37</v>
      </c>
      <c r="AA10" s="13">
        <f t="shared" si="2"/>
        <v>0.84499999999999997</v>
      </c>
      <c r="AB10" s="13">
        <f t="shared" si="3"/>
        <v>0.65500000000000003</v>
      </c>
    </row>
    <row r="11" spans="1:28" x14ac:dyDescent="0.25">
      <c r="A11" s="38" t="s">
        <v>47</v>
      </c>
      <c r="B11" s="3" t="s">
        <v>27</v>
      </c>
      <c r="C11" s="4" t="s">
        <v>48</v>
      </c>
      <c r="D11" s="97">
        <v>0.25</v>
      </c>
      <c r="E11" s="75">
        <v>0</v>
      </c>
      <c r="F11" s="76">
        <v>0</v>
      </c>
      <c r="G11" s="76">
        <v>0</v>
      </c>
      <c r="H11" s="76">
        <v>0</v>
      </c>
      <c r="I11" s="76">
        <v>0</v>
      </c>
      <c r="J11" s="74">
        <f t="shared" si="4"/>
        <v>0</v>
      </c>
      <c r="K11" s="86">
        <v>0</v>
      </c>
      <c r="L11" s="13">
        <v>0</v>
      </c>
      <c r="M11" s="13">
        <v>0</v>
      </c>
      <c r="N11" s="13">
        <v>0</v>
      </c>
      <c r="O11" s="74">
        <v>0.25</v>
      </c>
      <c r="P11" s="94">
        <v>0</v>
      </c>
      <c r="Q11" s="13">
        <v>0</v>
      </c>
      <c r="R11" s="13">
        <v>0</v>
      </c>
      <c r="S11" s="40">
        <v>0</v>
      </c>
      <c r="T11" s="41">
        <f t="shared" si="1"/>
        <v>0</v>
      </c>
      <c r="U11" s="42">
        <f>250000/4/1000000</f>
        <v>6.25E-2</v>
      </c>
      <c r="V11" s="42">
        <f>+U11</f>
        <v>6.25E-2</v>
      </c>
      <c r="W11" s="42">
        <f>+U11</f>
        <v>6.25E-2</v>
      </c>
      <c r="X11" s="57">
        <f>+U11</f>
        <v>6.25E-2</v>
      </c>
      <c r="Y11" s="91">
        <f t="shared" si="6"/>
        <v>0.25</v>
      </c>
      <c r="Z11" s="12" t="s">
        <v>29</v>
      </c>
      <c r="AA11" s="13">
        <f t="shared" si="2"/>
        <v>0.125</v>
      </c>
      <c r="AB11" s="13">
        <v>0.125</v>
      </c>
    </row>
    <row r="12" spans="1:28" ht="30" x14ac:dyDescent="0.25">
      <c r="A12" s="38" t="s">
        <v>44</v>
      </c>
      <c r="B12" s="3" t="s">
        <v>45</v>
      </c>
      <c r="C12" s="4" t="s">
        <v>46</v>
      </c>
      <c r="D12" s="97">
        <v>4</v>
      </c>
      <c r="E12" s="75">
        <v>0</v>
      </c>
      <c r="F12" s="76">
        <v>0</v>
      </c>
      <c r="G12" s="76">
        <v>0</v>
      </c>
      <c r="H12" s="73">
        <f>1999999.5*2/1000000</f>
        <v>3.9999989999999999</v>
      </c>
      <c r="I12" s="76">
        <v>0</v>
      </c>
      <c r="J12" s="74">
        <f t="shared" si="4"/>
        <v>3.9999989999999999</v>
      </c>
      <c r="K12" s="86">
        <v>0</v>
      </c>
      <c r="L12" s="13">
        <v>0</v>
      </c>
      <c r="M12" s="13">
        <v>0</v>
      </c>
      <c r="N12" s="13">
        <v>0</v>
      </c>
      <c r="O12" s="74">
        <f t="shared" ref="O12:O24" si="9">SUM(K12:N12)</f>
        <v>0</v>
      </c>
      <c r="P12" s="94">
        <v>0</v>
      </c>
      <c r="Q12" s="13">
        <v>0</v>
      </c>
      <c r="R12" s="13">
        <v>0</v>
      </c>
      <c r="S12" s="40">
        <v>0</v>
      </c>
      <c r="T12" s="41">
        <f t="shared" si="1"/>
        <v>0</v>
      </c>
      <c r="U12" s="39">
        <v>0</v>
      </c>
      <c r="V12" s="39">
        <v>0</v>
      </c>
      <c r="W12" s="39">
        <v>0</v>
      </c>
      <c r="X12" s="58">
        <v>0</v>
      </c>
      <c r="Y12" s="91">
        <f t="shared" si="6"/>
        <v>0</v>
      </c>
      <c r="Z12" s="12" t="s">
        <v>29</v>
      </c>
      <c r="AA12" s="13">
        <f t="shared" si="2"/>
        <v>2</v>
      </c>
      <c r="AB12" s="13">
        <f t="shared" ref="AB12:AB24" si="10">D12-AA12</f>
        <v>2</v>
      </c>
    </row>
    <row r="13" spans="1:28" ht="30" x14ac:dyDescent="0.25">
      <c r="A13" s="38" t="s">
        <v>56</v>
      </c>
      <c r="B13" s="3" t="s">
        <v>45</v>
      </c>
      <c r="C13" s="4" t="s">
        <v>57</v>
      </c>
      <c r="D13" s="97">
        <v>5</v>
      </c>
      <c r="E13" s="75">
        <v>0</v>
      </c>
      <c r="F13" s="76">
        <v>0</v>
      </c>
      <c r="G13" s="76">
        <v>0</v>
      </c>
      <c r="H13" s="76">
        <v>0</v>
      </c>
      <c r="I13" s="76">
        <v>0</v>
      </c>
      <c r="J13" s="77">
        <f t="shared" si="4"/>
        <v>0</v>
      </c>
      <c r="K13" s="86">
        <v>0</v>
      </c>
      <c r="L13" s="42">
        <f>1301608/3/1000000</f>
        <v>0.43386933333333333</v>
      </c>
      <c r="M13" s="43">
        <f t="shared" ref="M13:N18" si="11">+L13</f>
        <v>0.43386933333333333</v>
      </c>
      <c r="N13" s="43">
        <f t="shared" si="11"/>
        <v>0.43386933333333333</v>
      </c>
      <c r="O13" s="74">
        <f t="shared" si="9"/>
        <v>1.3016079999999999</v>
      </c>
      <c r="P13" s="42">
        <f>3598392/4/1000000</f>
        <v>0.89959800000000001</v>
      </c>
      <c r="Q13" s="42">
        <f t="shared" ref="Q13:Q18" si="12">+P13</f>
        <v>0.89959800000000001</v>
      </c>
      <c r="R13" s="42">
        <f t="shared" ref="R13:R18" si="13">+P13</f>
        <v>0.89959800000000001</v>
      </c>
      <c r="S13" s="42">
        <f t="shared" ref="S13:S18" si="14">+P13</f>
        <v>0.89959800000000001</v>
      </c>
      <c r="T13" s="41">
        <f t="shared" si="1"/>
        <v>3.598392</v>
      </c>
      <c r="U13" s="39">
        <v>0</v>
      </c>
      <c r="V13" s="39">
        <v>0</v>
      </c>
      <c r="W13" s="39">
        <v>0</v>
      </c>
      <c r="X13" s="58">
        <v>0</v>
      </c>
      <c r="Y13" s="91">
        <f t="shared" si="6"/>
        <v>0</v>
      </c>
      <c r="Z13" s="12" t="s">
        <v>37</v>
      </c>
      <c r="AA13" s="13">
        <f t="shared" si="2"/>
        <v>2.6749314965333331</v>
      </c>
      <c r="AB13" s="13">
        <f t="shared" si="10"/>
        <v>2.3250685034666669</v>
      </c>
    </row>
    <row r="14" spans="1:28" x14ac:dyDescent="0.25">
      <c r="A14" s="38" t="s">
        <v>26</v>
      </c>
      <c r="B14" s="3" t="s">
        <v>27</v>
      </c>
      <c r="C14" s="4" t="s">
        <v>28</v>
      </c>
      <c r="D14" s="97">
        <v>4.7</v>
      </c>
      <c r="E14" s="75">
        <v>0</v>
      </c>
      <c r="F14" s="76">
        <v>0</v>
      </c>
      <c r="G14" s="76">
        <v>0</v>
      </c>
      <c r="H14" s="76">
        <v>0</v>
      </c>
      <c r="I14" s="73">
        <f>((144385+12143.52)/1000000)</f>
        <v>0.15652851999999998</v>
      </c>
      <c r="J14" s="74">
        <f t="shared" si="4"/>
        <v>0.15652851999999998</v>
      </c>
      <c r="K14" s="86">
        <f>926402/1000000</f>
        <v>0.92640199999999995</v>
      </c>
      <c r="L14" s="42">
        <f>+(1.5-K14)/3</f>
        <v>0.19119933333333336</v>
      </c>
      <c r="M14" s="43">
        <f t="shared" si="11"/>
        <v>0.19119933333333336</v>
      </c>
      <c r="N14" s="43">
        <f t="shared" si="11"/>
        <v>0.19119933333333336</v>
      </c>
      <c r="O14" s="74">
        <f t="shared" si="9"/>
        <v>1.4999999999999998</v>
      </c>
      <c r="P14" s="42">
        <f>2500000/4/1000000</f>
        <v>0.625</v>
      </c>
      <c r="Q14" s="42">
        <f t="shared" si="12"/>
        <v>0.625</v>
      </c>
      <c r="R14" s="42">
        <f t="shared" si="13"/>
        <v>0.625</v>
      </c>
      <c r="S14" s="42">
        <f t="shared" si="14"/>
        <v>0.625</v>
      </c>
      <c r="T14" s="41">
        <f t="shared" si="1"/>
        <v>2.5</v>
      </c>
      <c r="U14" s="42">
        <f>700000/4/1000000</f>
        <v>0.17499999999999999</v>
      </c>
      <c r="V14" s="42">
        <f>+U14</f>
        <v>0.17499999999999999</v>
      </c>
      <c r="W14" s="42">
        <f>+U14</f>
        <v>0.17499999999999999</v>
      </c>
      <c r="X14" s="57">
        <f>+U14</f>
        <v>0.17499999999999999</v>
      </c>
      <c r="Y14" s="91">
        <f t="shared" si="6"/>
        <v>0.7</v>
      </c>
      <c r="Z14" s="12" t="s">
        <v>29</v>
      </c>
      <c r="AA14" s="13">
        <f t="shared" si="2"/>
        <v>2.35</v>
      </c>
      <c r="AB14" s="13">
        <f t="shared" si="10"/>
        <v>2.35</v>
      </c>
    </row>
    <row r="15" spans="1:28" x14ac:dyDescent="0.25">
      <c r="A15" s="38" t="s">
        <v>26</v>
      </c>
      <c r="B15" s="3" t="s">
        <v>27</v>
      </c>
      <c r="C15" s="4" t="s">
        <v>30</v>
      </c>
      <c r="D15" s="97">
        <v>0.6</v>
      </c>
      <c r="E15" s="75">
        <v>0</v>
      </c>
      <c r="F15" s="76">
        <v>0</v>
      </c>
      <c r="G15" s="76">
        <v>0</v>
      </c>
      <c r="H15" s="76">
        <v>0</v>
      </c>
      <c r="I15" s="73">
        <v>0</v>
      </c>
      <c r="J15" s="74">
        <f t="shared" si="4"/>
        <v>0</v>
      </c>
      <c r="K15" s="86">
        <v>0</v>
      </c>
      <c r="L15" s="42">
        <f>300000/3/1000000</f>
        <v>0.1</v>
      </c>
      <c r="M15" s="43">
        <f t="shared" si="11"/>
        <v>0.1</v>
      </c>
      <c r="N15" s="43">
        <f t="shared" si="11"/>
        <v>0.1</v>
      </c>
      <c r="O15" s="74">
        <f t="shared" si="9"/>
        <v>0.30000000000000004</v>
      </c>
      <c r="P15" s="42">
        <f>62500/4/1000000</f>
        <v>1.5625E-2</v>
      </c>
      <c r="Q15" s="42">
        <f t="shared" si="12"/>
        <v>1.5625E-2</v>
      </c>
      <c r="R15" s="42">
        <f t="shared" si="13"/>
        <v>1.5625E-2</v>
      </c>
      <c r="S15" s="42">
        <f t="shared" si="14"/>
        <v>1.5625E-2</v>
      </c>
      <c r="T15" s="41">
        <f t="shared" si="1"/>
        <v>6.25E-2</v>
      </c>
      <c r="U15" s="42">
        <f>175000/4/1000000</f>
        <v>4.3749999999999997E-2</v>
      </c>
      <c r="V15" s="42">
        <f>+U15</f>
        <v>4.3749999999999997E-2</v>
      </c>
      <c r="W15" s="42">
        <f>+U15</f>
        <v>4.3749999999999997E-2</v>
      </c>
      <c r="X15" s="57">
        <f>+U15</f>
        <v>4.3749999999999997E-2</v>
      </c>
      <c r="Y15" s="91">
        <f t="shared" si="6"/>
        <v>0.17499999999999999</v>
      </c>
      <c r="Z15" s="12" t="s">
        <v>29</v>
      </c>
      <c r="AA15" s="13">
        <f t="shared" si="2"/>
        <v>0.3</v>
      </c>
      <c r="AB15" s="13">
        <f t="shared" si="10"/>
        <v>0.3</v>
      </c>
    </row>
    <row r="16" spans="1:28" x14ac:dyDescent="0.25">
      <c r="A16" s="38" t="s">
        <v>26</v>
      </c>
      <c r="B16" s="3" t="s">
        <v>27</v>
      </c>
      <c r="C16" s="4" t="s">
        <v>31</v>
      </c>
      <c r="D16" s="97">
        <v>0.5</v>
      </c>
      <c r="E16" s="75">
        <v>0</v>
      </c>
      <c r="F16" s="76">
        <v>0</v>
      </c>
      <c r="G16" s="76">
        <v>0</v>
      </c>
      <c r="H16" s="76">
        <v>0</v>
      </c>
      <c r="I16" s="76">
        <v>0</v>
      </c>
      <c r="J16" s="74">
        <f t="shared" si="4"/>
        <v>0</v>
      </c>
      <c r="K16" s="86">
        <v>0</v>
      </c>
      <c r="L16" s="42">
        <f>200000/3/1000000</f>
        <v>6.6666666666666666E-2</v>
      </c>
      <c r="M16" s="43">
        <f t="shared" si="11"/>
        <v>6.6666666666666666E-2</v>
      </c>
      <c r="N16" s="43">
        <f t="shared" si="11"/>
        <v>6.6666666666666666E-2</v>
      </c>
      <c r="O16" s="74">
        <f t="shared" si="9"/>
        <v>0.2</v>
      </c>
      <c r="P16" s="42">
        <f>200000/4/1000000</f>
        <v>0.05</v>
      </c>
      <c r="Q16" s="42">
        <f t="shared" si="12"/>
        <v>0.05</v>
      </c>
      <c r="R16" s="42">
        <f t="shared" si="13"/>
        <v>0.05</v>
      </c>
      <c r="S16" s="42">
        <f t="shared" si="14"/>
        <v>0.05</v>
      </c>
      <c r="T16" s="41">
        <f t="shared" si="1"/>
        <v>0.2</v>
      </c>
      <c r="U16" s="42">
        <f>78000/4/1000000</f>
        <v>1.95E-2</v>
      </c>
      <c r="V16" s="42">
        <f>+U16</f>
        <v>1.95E-2</v>
      </c>
      <c r="W16" s="42">
        <f>+U16</f>
        <v>1.95E-2</v>
      </c>
      <c r="X16" s="57">
        <f>+U16</f>
        <v>1.95E-2</v>
      </c>
      <c r="Y16" s="91">
        <f t="shared" si="6"/>
        <v>7.8E-2</v>
      </c>
      <c r="Z16" s="12" t="s">
        <v>29</v>
      </c>
      <c r="AA16" s="13">
        <f t="shared" si="2"/>
        <v>0.25</v>
      </c>
      <c r="AB16" s="13">
        <f t="shared" si="10"/>
        <v>0.25</v>
      </c>
    </row>
    <row r="17" spans="1:28" x14ac:dyDescent="0.25">
      <c r="A17" s="38" t="s">
        <v>26</v>
      </c>
      <c r="B17" s="3" t="s">
        <v>32</v>
      </c>
      <c r="C17" s="4" t="s">
        <v>33</v>
      </c>
      <c r="D17" s="97">
        <v>1.6</v>
      </c>
      <c r="E17" s="75">
        <v>0</v>
      </c>
      <c r="F17" s="76">
        <v>0</v>
      </c>
      <c r="G17" s="76">
        <v>0</v>
      </c>
      <c r="H17" s="76">
        <v>0</v>
      </c>
      <c r="I17" s="76">
        <v>0</v>
      </c>
      <c r="J17" s="74">
        <f t="shared" si="4"/>
        <v>0</v>
      </c>
      <c r="K17" s="86">
        <v>0</v>
      </c>
      <c r="L17" s="42">
        <f>1100000/3/1000000</f>
        <v>0.3666666666666667</v>
      </c>
      <c r="M17" s="43">
        <f t="shared" si="11"/>
        <v>0.3666666666666667</v>
      </c>
      <c r="N17" s="43">
        <f t="shared" si="11"/>
        <v>0.3666666666666667</v>
      </c>
      <c r="O17" s="74">
        <f t="shared" si="9"/>
        <v>1.1000000000000001</v>
      </c>
      <c r="P17" s="42">
        <f>400000/4/1000000</f>
        <v>0.1</v>
      </c>
      <c r="Q17" s="42">
        <f t="shared" si="12"/>
        <v>0.1</v>
      </c>
      <c r="R17" s="42">
        <f t="shared" si="13"/>
        <v>0.1</v>
      </c>
      <c r="S17" s="42">
        <f t="shared" si="14"/>
        <v>0.1</v>
      </c>
      <c r="T17" s="41">
        <f t="shared" si="1"/>
        <v>0.4</v>
      </c>
      <c r="U17" s="42">
        <f>100000/4/1000000</f>
        <v>2.5000000000000001E-2</v>
      </c>
      <c r="V17" s="42">
        <f>+U17</f>
        <v>2.5000000000000001E-2</v>
      </c>
      <c r="W17" s="42">
        <f>+U17</f>
        <v>2.5000000000000001E-2</v>
      </c>
      <c r="X17" s="57">
        <f>+U17</f>
        <v>2.5000000000000001E-2</v>
      </c>
      <c r="Y17" s="91">
        <f t="shared" si="6"/>
        <v>0.1</v>
      </c>
      <c r="Z17" s="12" t="s">
        <v>29</v>
      </c>
      <c r="AA17" s="13">
        <f t="shared" si="2"/>
        <v>0.8</v>
      </c>
      <c r="AB17" s="13">
        <f t="shared" si="10"/>
        <v>0.8</v>
      </c>
    </row>
    <row r="18" spans="1:28" ht="30" x14ac:dyDescent="0.25">
      <c r="A18" s="38" t="s">
        <v>58</v>
      </c>
      <c r="B18" s="3" t="s">
        <v>45</v>
      </c>
      <c r="C18" s="4" t="s">
        <v>59</v>
      </c>
      <c r="D18" s="97">
        <v>0.9</v>
      </c>
      <c r="E18" s="75">
        <v>0</v>
      </c>
      <c r="F18" s="76">
        <v>0</v>
      </c>
      <c r="G18" s="76">
        <v>0</v>
      </c>
      <c r="H18" s="76">
        <v>0</v>
      </c>
      <c r="I18" s="73">
        <v>0</v>
      </c>
      <c r="J18" s="74">
        <f t="shared" si="4"/>
        <v>0</v>
      </c>
      <c r="K18" s="86">
        <f>32337.48/1000000</f>
        <v>3.2337480000000002E-2</v>
      </c>
      <c r="L18" s="42">
        <f>+(0.265892-K18)/3</f>
        <v>7.7851506666666667E-2</v>
      </c>
      <c r="M18" s="43">
        <f t="shared" si="11"/>
        <v>7.7851506666666667E-2</v>
      </c>
      <c r="N18" s="43">
        <f t="shared" si="11"/>
        <v>7.7851506666666667E-2</v>
      </c>
      <c r="O18" s="74">
        <f t="shared" si="9"/>
        <v>0.26589200000000002</v>
      </c>
      <c r="P18" s="42">
        <f>433742/4/1000000</f>
        <v>0.1084355</v>
      </c>
      <c r="Q18" s="42">
        <f t="shared" si="12"/>
        <v>0.1084355</v>
      </c>
      <c r="R18" s="42">
        <f t="shared" si="13"/>
        <v>0.1084355</v>
      </c>
      <c r="S18" s="42">
        <f t="shared" si="14"/>
        <v>0.1084355</v>
      </c>
      <c r="T18" s="41">
        <f t="shared" si="1"/>
        <v>0.43374200000000002</v>
      </c>
      <c r="U18" s="39">
        <v>0</v>
      </c>
      <c r="V18" s="39">
        <v>0</v>
      </c>
      <c r="W18" s="39">
        <v>0</v>
      </c>
      <c r="X18" s="58">
        <v>0</v>
      </c>
      <c r="Y18" s="91">
        <f t="shared" si="6"/>
        <v>0</v>
      </c>
      <c r="Z18" s="12" t="s">
        <v>29</v>
      </c>
      <c r="AA18" s="13">
        <f t="shared" si="2"/>
        <v>0.45</v>
      </c>
      <c r="AB18" s="13">
        <f t="shared" si="10"/>
        <v>0.45</v>
      </c>
    </row>
    <row r="19" spans="1:28" x14ac:dyDescent="0.25">
      <c r="A19" s="38" t="s">
        <v>34</v>
      </c>
      <c r="B19" s="3" t="s">
        <v>35</v>
      </c>
      <c r="C19" s="4" t="s">
        <v>36</v>
      </c>
      <c r="D19" s="97">
        <v>58.1</v>
      </c>
      <c r="E19" s="75">
        <v>0</v>
      </c>
      <c r="F19" s="76">
        <v>0</v>
      </c>
      <c r="G19" s="73">
        <f>50981635.49/1000000</f>
        <v>50.981635490000002</v>
      </c>
      <c r="H19" s="78">
        <v>0</v>
      </c>
      <c r="I19" s="78">
        <v>0</v>
      </c>
      <c r="J19" s="77">
        <f t="shared" si="4"/>
        <v>50.981635490000002</v>
      </c>
      <c r="K19" s="86">
        <v>0</v>
      </c>
      <c r="L19" s="13">
        <v>0</v>
      </c>
      <c r="M19" s="13">
        <v>0</v>
      </c>
      <c r="N19" s="13">
        <v>0</v>
      </c>
      <c r="O19" s="74">
        <f t="shared" si="9"/>
        <v>0</v>
      </c>
      <c r="P19" s="94">
        <v>0</v>
      </c>
      <c r="Q19" s="13">
        <v>0</v>
      </c>
      <c r="R19" s="13">
        <v>0</v>
      </c>
      <c r="S19" s="40">
        <v>0</v>
      </c>
      <c r="T19" s="41">
        <f t="shared" si="1"/>
        <v>0</v>
      </c>
      <c r="U19" s="39">
        <v>0</v>
      </c>
      <c r="V19" s="39">
        <v>0</v>
      </c>
      <c r="W19" s="39">
        <v>0</v>
      </c>
      <c r="X19" s="58">
        <v>0</v>
      </c>
      <c r="Y19" s="91">
        <f t="shared" si="6"/>
        <v>0</v>
      </c>
      <c r="Z19" s="12" t="s">
        <v>37</v>
      </c>
      <c r="AA19" s="13">
        <f t="shared" si="2"/>
        <v>31.139582957292003</v>
      </c>
      <c r="AB19" s="13">
        <f t="shared" si="10"/>
        <v>26.960417042707999</v>
      </c>
    </row>
    <row r="20" spans="1:28" ht="30" x14ac:dyDescent="0.25">
      <c r="A20" s="38" t="s">
        <v>34</v>
      </c>
      <c r="B20" s="3" t="s">
        <v>35</v>
      </c>
      <c r="C20" s="4" t="s">
        <v>38</v>
      </c>
      <c r="D20" s="97">
        <v>5.9</v>
      </c>
      <c r="E20" s="75">
        <v>0</v>
      </c>
      <c r="F20" s="76">
        <v>0</v>
      </c>
      <c r="G20" s="76">
        <v>0</v>
      </c>
      <c r="H20" s="73">
        <f>5885172.56/1000000</f>
        <v>5.88517256</v>
      </c>
      <c r="I20" s="73">
        <v>0</v>
      </c>
      <c r="J20" s="74">
        <f t="shared" si="4"/>
        <v>5.88517256</v>
      </c>
      <c r="K20" s="86">
        <v>0</v>
      </c>
      <c r="L20" s="13">
        <v>0</v>
      </c>
      <c r="M20" s="13">
        <v>0</v>
      </c>
      <c r="N20" s="13">
        <v>0</v>
      </c>
      <c r="O20" s="74">
        <f t="shared" si="9"/>
        <v>0</v>
      </c>
      <c r="P20" s="94">
        <v>0</v>
      </c>
      <c r="Q20" s="13">
        <v>0</v>
      </c>
      <c r="R20" s="13">
        <v>0</v>
      </c>
      <c r="S20" s="40">
        <v>0</v>
      </c>
      <c r="T20" s="41">
        <f t="shared" si="1"/>
        <v>0</v>
      </c>
      <c r="U20" s="39">
        <v>0</v>
      </c>
      <c r="V20" s="39">
        <v>0</v>
      </c>
      <c r="W20" s="39">
        <v>0</v>
      </c>
      <c r="X20" s="58">
        <v>0</v>
      </c>
      <c r="Y20" s="91">
        <f t="shared" si="6"/>
        <v>0</v>
      </c>
      <c r="Z20" s="12" t="s">
        <v>29</v>
      </c>
      <c r="AA20" s="13">
        <f t="shared" si="2"/>
        <v>2.95</v>
      </c>
      <c r="AB20" s="13">
        <f t="shared" si="10"/>
        <v>2.95</v>
      </c>
    </row>
    <row r="21" spans="1:28" x14ac:dyDescent="0.25">
      <c r="A21" s="38" t="s">
        <v>34</v>
      </c>
      <c r="B21" s="3" t="s">
        <v>35</v>
      </c>
      <c r="C21" s="4" t="s">
        <v>39</v>
      </c>
      <c r="D21" s="24">
        <v>1.202</v>
      </c>
      <c r="E21" s="75">
        <v>0</v>
      </c>
      <c r="F21" s="78"/>
      <c r="G21" s="78"/>
      <c r="H21" s="73">
        <f>777167.85/1000000</f>
        <v>0.77716784999999999</v>
      </c>
      <c r="I21" s="73">
        <f>177233.8/1000000</f>
        <v>0.1772338</v>
      </c>
      <c r="J21" s="74">
        <f t="shared" si="4"/>
        <v>0.95440164999999999</v>
      </c>
      <c r="K21" s="86">
        <v>0</v>
      </c>
      <c r="L21" s="13">
        <v>0</v>
      </c>
      <c r="M21" s="13">
        <v>0</v>
      </c>
      <c r="N21" s="13">
        <v>0</v>
      </c>
      <c r="O21" s="74">
        <f t="shared" si="9"/>
        <v>0</v>
      </c>
      <c r="P21" s="94">
        <v>0</v>
      </c>
      <c r="Q21" s="13">
        <v>0</v>
      </c>
      <c r="R21" s="13">
        <v>0</v>
      </c>
      <c r="S21" s="40">
        <v>0</v>
      </c>
      <c r="T21" s="41">
        <f t="shared" si="1"/>
        <v>0</v>
      </c>
      <c r="U21" s="39">
        <v>0</v>
      </c>
      <c r="V21" s="39">
        <v>0</v>
      </c>
      <c r="W21" s="39">
        <v>0</v>
      </c>
      <c r="X21" s="58">
        <v>0</v>
      </c>
      <c r="Y21" s="91">
        <f t="shared" si="6"/>
        <v>0</v>
      </c>
      <c r="Z21" s="12" t="s">
        <v>29</v>
      </c>
      <c r="AA21" s="13">
        <f t="shared" si="2"/>
        <v>0.60099999999999998</v>
      </c>
      <c r="AB21" s="13">
        <f t="shared" si="10"/>
        <v>0.60099999999999998</v>
      </c>
    </row>
    <row r="22" spans="1:28" x14ac:dyDescent="0.25">
      <c r="A22" s="38" t="s">
        <v>34</v>
      </c>
      <c r="B22" s="3" t="s">
        <v>40</v>
      </c>
      <c r="C22" s="4" t="s">
        <v>42</v>
      </c>
      <c r="D22" s="97">
        <v>3</v>
      </c>
      <c r="E22" s="75">
        <v>0</v>
      </c>
      <c r="F22" s="76">
        <v>0</v>
      </c>
      <c r="G22" s="76">
        <v>0</v>
      </c>
      <c r="H22" s="76">
        <v>0</v>
      </c>
      <c r="I22" s="73">
        <v>0</v>
      </c>
      <c r="J22" s="74">
        <f t="shared" si="4"/>
        <v>0</v>
      </c>
      <c r="K22" s="86">
        <v>0</v>
      </c>
      <c r="L22" s="42">
        <f>3000000/3/1000000</f>
        <v>1</v>
      </c>
      <c r="M22" s="43">
        <f>+L22</f>
        <v>1</v>
      </c>
      <c r="N22" s="43">
        <f>+M22</f>
        <v>1</v>
      </c>
      <c r="O22" s="74">
        <f t="shared" si="9"/>
        <v>3</v>
      </c>
      <c r="P22" s="42">
        <f>3000000/4/1000000</f>
        <v>0.75</v>
      </c>
      <c r="Q22" s="42">
        <f>+P22</f>
        <v>0.75</v>
      </c>
      <c r="R22" s="42">
        <f>+P22</f>
        <v>0.75</v>
      </c>
      <c r="S22" s="42">
        <f>+P22</f>
        <v>0.75</v>
      </c>
      <c r="T22" s="41">
        <f t="shared" si="1"/>
        <v>3</v>
      </c>
      <c r="U22" s="39">
        <v>0</v>
      </c>
      <c r="V22" s="39">
        <v>0</v>
      </c>
      <c r="W22" s="39">
        <v>0</v>
      </c>
      <c r="X22" s="58">
        <v>0</v>
      </c>
      <c r="Y22" s="91">
        <f t="shared" si="6"/>
        <v>0</v>
      </c>
      <c r="Z22" s="12" t="s">
        <v>29</v>
      </c>
      <c r="AA22" s="13">
        <f t="shared" si="2"/>
        <v>1.5</v>
      </c>
      <c r="AB22" s="13">
        <f t="shared" si="10"/>
        <v>1.5</v>
      </c>
    </row>
    <row r="23" spans="1:28" ht="15.75" thickBot="1" x14ac:dyDescent="0.3">
      <c r="A23" s="38" t="s">
        <v>34</v>
      </c>
      <c r="B23" s="3" t="s">
        <v>40</v>
      </c>
      <c r="C23" s="4" t="s">
        <v>43</v>
      </c>
      <c r="D23" s="98">
        <v>3</v>
      </c>
      <c r="E23" s="75">
        <v>0</v>
      </c>
      <c r="F23" s="76">
        <v>0</v>
      </c>
      <c r="G23" s="76">
        <v>0</v>
      </c>
      <c r="H23" s="76">
        <v>0</v>
      </c>
      <c r="I23" s="78">
        <v>0</v>
      </c>
      <c r="J23" s="74">
        <f t="shared" si="4"/>
        <v>0</v>
      </c>
      <c r="K23" s="86">
        <v>0</v>
      </c>
      <c r="L23" s="13">
        <v>0</v>
      </c>
      <c r="M23" s="13">
        <v>0</v>
      </c>
      <c r="N23" s="13">
        <v>0</v>
      </c>
      <c r="O23" s="74">
        <f t="shared" si="9"/>
        <v>0</v>
      </c>
      <c r="P23" s="42">
        <f>3000000/4/1000000</f>
        <v>0.75</v>
      </c>
      <c r="Q23" s="42">
        <f>+P23</f>
        <v>0.75</v>
      </c>
      <c r="R23" s="42">
        <f>+P23</f>
        <v>0.75</v>
      </c>
      <c r="S23" s="42">
        <f>+P23</f>
        <v>0.75</v>
      </c>
      <c r="T23" s="41">
        <f t="shared" si="1"/>
        <v>3</v>
      </c>
      <c r="U23" s="39">
        <v>0</v>
      </c>
      <c r="V23" s="39">
        <v>0</v>
      </c>
      <c r="W23" s="39">
        <v>0</v>
      </c>
      <c r="X23" s="58">
        <v>0</v>
      </c>
      <c r="Y23" s="91">
        <f t="shared" si="6"/>
        <v>0</v>
      </c>
      <c r="Z23" s="12" t="s">
        <v>29</v>
      </c>
      <c r="AA23" s="13">
        <f t="shared" si="2"/>
        <v>1.5</v>
      </c>
      <c r="AB23" s="13">
        <f t="shared" si="10"/>
        <v>1.5</v>
      </c>
    </row>
    <row r="24" spans="1:28" ht="15.75" thickBot="1" x14ac:dyDescent="0.3">
      <c r="A24" s="38" t="s">
        <v>34</v>
      </c>
      <c r="B24" s="3" t="s">
        <v>40</v>
      </c>
      <c r="C24" s="53" t="s">
        <v>41</v>
      </c>
      <c r="D24" s="16">
        <v>0.8</v>
      </c>
      <c r="E24" s="75">
        <v>0</v>
      </c>
      <c r="F24" s="73">
        <f>28555.66/1000000</f>
        <v>2.855566E-2</v>
      </c>
      <c r="G24" s="76">
        <v>0</v>
      </c>
      <c r="H24" s="76">
        <v>0</v>
      </c>
      <c r="I24" s="76">
        <v>0</v>
      </c>
      <c r="J24" s="79">
        <f t="shared" si="4"/>
        <v>2.855566E-2</v>
      </c>
      <c r="K24" s="73">
        <v>0</v>
      </c>
      <c r="L24" s="13">
        <v>0</v>
      </c>
      <c r="M24" s="13">
        <v>0</v>
      </c>
      <c r="N24" s="13">
        <v>0</v>
      </c>
      <c r="O24" s="79">
        <f t="shared" si="9"/>
        <v>0</v>
      </c>
      <c r="P24" s="43">
        <f>800000/4/1000000</f>
        <v>0.2</v>
      </c>
      <c r="Q24" s="43">
        <f>+P24</f>
        <v>0.2</v>
      </c>
      <c r="R24" s="43">
        <f>+P24</f>
        <v>0.2</v>
      </c>
      <c r="S24" s="43">
        <f>+P24</f>
        <v>0.2</v>
      </c>
      <c r="T24" s="79">
        <f t="shared" si="1"/>
        <v>0.8</v>
      </c>
      <c r="U24" s="40">
        <v>0</v>
      </c>
      <c r="V24" s="40">
        <v>0</v>
      </c>
      <c r="W24" s="40">
        <v>0</v>
      </c>
      <c r="X24" s="59">
        <v>0</v>
      </c>
      <c r="Y24" s="91">
        <f t="shared" si="6"/>
        <v>0</v>
      </c>
      <c r="Z24" s="12" t="s">
        <v>29</v>
      </c>
      <c r="AA24" s="13">
        <f t="shared" si="2"/>
        <v>0.4</v>
      </c>
      <c r="AB24" s="13">
        <f t="shared" si="10"/>
        <v>0.4</v>
      </c>
    </row>
    <row r="25" spans="1:28" ht="30.75" thickBot="1" x14ac:dyDescent="0.3">
      <c r="A25" s="67" t="s">
        <v>60</v>
      </c>
      <c r="B25" s="3" t="s">
        <v>60</v>
      </c>
      <c r="C25" s="53" t="s">
        <v>61</v>
      </c>
      <c r="D25" s="16">
        <v>0.5</v>
      </c>
      <c r="E25" s="80">
        <v>0</v>
      </c>
      <c r="F25" s="81">
        <v>0</v>
      </c>
      <c r="G25" s="81">
        <v>0</v>
      </c>
      <c r="H25" s="81">
        <v>0</v>
      </c>
      <c r="I25" s="82">
        <f>1606.71/1000000</f>
        <v>1.6067100000000001E-3</v>
      </c>
      <c r="J25" s="79">
        <f t="shared" si="4"/>
        <v>1.6067100000000001E-3</v>
      </c>
      <c r="K25" s="82">
        <v>0</v>
      </c>
      <c r="L25" s="44">
        <f>125000/3/1000000</f>
        <v>4.1666666666666664E-2</v>
      </c>
      <c r="M25" s="44">
        <f>+L25</f>
        <v>4.1666666666666664E-2</v>
      </c>
      <c r="N25" s="44">
        <f>+M25</f>
        <v>4.1666666666666664E-2</v>
      </c>
      <c r="O25" s="70">
        <v>0.2</v>
      </c>
      <c r="P25" s="44">
        <f>125000/4/1000000</f>
        <v>3.125E-2</v>
      </c>
      <c r="Q25" s="44">
        <f>+P25</f>
        <v>3.125E-2</v>
      </c>
      <c r="R25" s="44">
        <f>+P25</f>
        <v>3.125E-2</v>
      </c>
      <c r="S25" s="44">
        <f>+P25</f>
        <v>3.125E-2</v>
      </c>
      <c r="T25" s="70">
        <v>0.2</v>
      </c>
      <c r="U25" s="44">
        <f>125000/4/1000000</f>
        <v>3.125E-2</v>
      </c>
      <c r="V25" s="44">
        <f>+U25</f>
        <v>3.125E-2</v>
      </c>
      <c r="W25" s="44">
        <f>+U25</f>
        <v>3.125E-2</v>
      </c>
      <c r="X25" s="60">
        <f>+U25</f>
        <v>3.125E-2</v>
      </c>
      <c r="Y25" s="92">
        <f t="shared" si="6"/>
        <v>0.125</v>
      </c>
      <c r="Z25" s="14" t="s">
        <v>29</v>
      </c>
      <c r="AA25" s="33">
        <f t="shared" si="2"/>
        <v>0.25</v>
      </c>
      <c r="AB25" s="33">
        <v>0.25</v>
      </c>
    </row>
    <row r="26" spans="1:28" ht="15.75" thickBot="1" x14ac:dyDescent="0.3">
      <c r="A26" s="68" t="s">
        <v>99</v>
      </c>
      <c r="B26" s="64"/>
      <c r="C26" s="54"/>
      <c r="D26" s="95">
        <f>+SUM(D5:D25)</f>
        <v>110.752</v>
      </c>
      <c r="E26" s="83">
        <f t="shared" ref="E26:Y26" si="15">+SUM(E5:E25)</f>
        <v>0</v>
      </c>
      <c r="F26" s="84">
        <f t="shared" si="15"/>
        <v>2.855566E-2</v>
      </c>
      <c r="G26" s="84">
        <f t="shared" si="15"/>
        <v>50.981635490000002</v>
      </c>
      <c r="H26" s="84">
        <f t="shared" si="15"/>
        <v>10.66233941</v>
      </c>
      <c r="I26" s="84">
        <f t="shared" si="15"/>
        <v>0.33536902999999996</v>
      </c>
      <c r="J26" s="85">
        <f t="shared" si="15"/>
        <v>62.007899590000001</v>
      </c>
      <c r="K26" s="96">
        <f t="shared" si="15"/>
        <v>0.95873947999999998</v>
      </c>
      <c r="L26" s="49">
        <f t="shared" si="15"/>
        <v>8.6445868399999988</v>
      </c>
      <c r="M26" s="49">
        <f t="shared" si="15"/>
        <v>8.6445868399999988</v>
      </c>
      <c r="N26" s="49">
        <f t="shared" si="15"/>
        <v>8.6445868399999988</v>
      </c>
      <c r="O26" s="85">
        <f t="shared" si="15"/>
        <v>27.217500000000005</v>
      </c>
      <c r="P26" s="15">
        <f t="shared" si="15"/>
        <v>3.5299085000000003</v>
      </c>
      <c r="Q26" s="15">
        <f t="shared" si="15"/>
        <v>3.5299085000000003</v>
      </c>
      <c r="R26" s="15">
        <f t="shared" si="15"/>
        <v>3.5299085000000003</v>
      </c>
      <c r="S26" s="49">
        <f t="shared" si="15"/>
        <v>3.5299085000000003</v>
      </c>
      <c r="T26" s="85">
        <f t="shared" si="15"/>
        <v>14.194634000000001</v>
      </c>
      <c r="U26" s="49">
        <f t="shared" si="15"/>
        <v>0.7569999999999999</v>
      </c>
      <c r="V26" s="49">
        <f t="shared" si="15"/>
        <v>0.7569999999999999</v>
      </c>
      <c r="W26" s="49">
        <f t="shared" si="15"/>
        <v>0.7569999999999999</v>
      </c>
      <c r="X26" s="61">
        <f t="shared" si="15"/>
        <v>0.7569999999999999</v>
      </c>
      <c r="Y26" s="71">
        <f t="shared" si="15"/>
        <v>3.0279999999999996</v>
      </c>
      <c r="Z26" s="62"/>
      <c r="AA26" s="15"/>
      <c r="AB26" s="50"/>
    </row>
    <row r="27" spans="1:28" ht="15.75" thickBot="1" x14ac:dyDescent="0.3">
      <c r="A27" s="68"/>
      <c r="B27" s="64"/>
      <c r="C27" s="54"/>
      <c r="D27" s="55"/>
      <c r="E27" s="56"/>
      <c r="F27" s="45"/>
      <c r="G27" s="45"/>
      <c r="H27" s="45"/>
      <c r="I27" s="45"/>
      <c r="J27" s="46"/>
      <c r="K27" s="47"/>
      <c r="L27" s="48"/>
      <c r="M27" s="48"/>
      <c r="N27" s="48"/>
      <c r="O27" s="85"/>
      <c r="P27" s="15"/>
      <c r="Q27" s="15"/>
      <c r="R27" s="15"/>
      <c r="S27" s="49"/>
      <c r="T27" s="85"/>
      <c r="U27" s="49"/>
      <c r="V27" s="49"/>
      <c r="W27" s="49"/>
      <c r="X27" s="61"/>
      <c r="Y27" s="71"/>
      <c r="Z27" s="62"/>
      <c r="AA27" s="15"/>
      <c r="AB27" s="50"/>
    </row>
    <row r="28" spans="1:28" ht="45.75" thickBot="1" x14ac:dyDescent="0.3">
      <c r="A28" s="68" t="s">
        <v>100</v>
      </c>
      <c r="B28" s="64"/>
      <c r="C28" s="54" t="s">
        <v>62</v>
      </c>
      <c r="D28" s="95">
        <f>AB28+AA28</f>
        <v>37.393585810450801</v>
      </c>
      <c r="E28" s="83">
        <v>0</v>
      </c>
      <c r="F28" s="84">
        <v>0</v>
      </c>
      <c r="G28" s="84">
        <v>0</v>
      </c>
      <c r="H28" s="84">
        <v>0</v>
      </c>
      <c r="I28" s="84">
        <v>0</v>
      </c>
      <c r="J28" s="85">
        <f t="shared" ref="J28" si="16">SUM(F28:I28)</f>
        <v>0</v>
      </c>
      <c r="K28" s="96">
        <v>0</v>
      </c>
      <c r="L28" s="49">
        <v>0</v>
      </c>
      <c r="M28" s="49">
        <v>0</v>
      </c>
      <c r="N28" s="49">
        <f>O28</f>
        <v>24.929057206967201</v>
      </c>
      <c r="O28" s="85">
        <f>D28*2/3</f>
        <v>24.929057206967201</v>
      </c>
      <c r="P28" s="15">
        <v>0</v>
      </c>
      <c r="Q28" s="15">
        <v>0</v>
      </c>
      <c r="R28" s="15">
        <f>S28</f>
        <v>12.4645286034836</v>
      </c>
      <c r="S28" s="49">
        <f>D28*1/3</f>
        <v>12.4645286034836</v>
      </c>
      <c r="T28" s="85">
        <f>SUM(P28:S28)</f>
        <v>24.929057206967201</v>
      </c>
      <c r="U28" s="49">
        <v>0</v>
      </c>
      <c r="V28" s="49">
        <v>0</v>
      </c>
      <c r="W28" s="49">
        <v>0</v>
      </c>
      <c r="X28" s="61">
        <v>0</v>
      </c>
      <c r="Y28" s="71">
        <f t="shared" si="6"/>
        <v>0</v>
      </c>
      <c r="Z28" s="62" t="s">
        <v>29</v>
      </c>
      <c r="AA28" s="15">
        <f>AB28</f>
        <v>18.696792905225401</v>
      </c>
      <c r="AB28" s="50">
        <f>(Claiming!C37/1000000)-(SUM(AB5:AB25))</f>
        <v>18.696792905225401</v>
      </c>
    </row>
    <row r="29" spans="1:28" ht="15.75" thickBot="1" x14ac:dyDescent="0.3">
      <c r="A29" s="69"/>
      <c r="B29" s="65"/>
      <c r="C29" s="66" t="s">
        <v>63</v>
      </c>
      <c r="D29" s="93">
        <f t="shared" ref="D29:Y29" si="17">+D28+D26</f>
        <v>148.1455858104508</v>
      </c>
      <c r="E29" s="93">
        <f t="shared" si="17"/>
        <v>0</v>
      </c>
      <c r="F29" s="93">
        <f t="shared" si="17"/>
        <v>2.855566E-2</v>
      </c>
      <c r="G29" s="93">
        <f t="shared" si="17"/>
        <v>50.981635490000002</v>
      </c>
      <c r="H29" s="93">
        <f t="shared" si="17"/>
        <v>10.66233941</v>
      </c>
      <c r="I29" s="93">
        <f t="shared" si="17"/>
        <v>0.33536902999999996</v>
      </c>
      <c r="J29" s="93">
        <f t="shared" si="17"/>
        <v>62.007899590000001</v>
      </c>
      <c r="K29" s="93">
        <f t="shared" si="17"/>
        <v>0.95873947999999998</v>
      </c>
      <c r="L29" s="93">
        <f t="shared" si="17"/>
        <v>8.6445868399999988</v>
      </c>
      <c r="M29" s="93">
        <f t="shared" si="17"/>
        <v>8.6445868399999988</v>
      </c>
      <c r="N29" s="93">
        <f t="shared" si="17"/>
        <v>33.573644046967203</v>
      </c>
      <c r="O29" s="93">
        <f t="shared" si="17"/>
        <v>52.146557206967202</v>
      </c>
      <c r="P29" s="93">
        <f t="shared" si="17"/>
        <v>3.5299085000000003</v>
      </c>
      <c r="Q29" s="93">
        <f t="shared" si="17"/>
        <v>3.5299085000000003</v>
      </c>
      <c r="R29" s="93">
        <f t="shared" si="17"/>
        <v>15.994437103483602</v>
      </c>
      <c r="S29" s="93">
        <f t="shared" si="17"/>
        <v>15.994437103483602</v>
      </c>
      <c r="T29" s="93">
        <f t="shared" si="17"/>
        <v>39.123691206967202</v>
      </c>
      <c r="U29" s="93">
        <f t="shared" si="17"/>
        <v>0.7569999999999999</v>
      </c>
      <c r="V29" s="93">
        <f t="shared" si="17"/>
        <v>0.7569999999999999</v>
      </c>
      <c r="W29" s="93">
        <f t="shared" si="17"/>
        <v>0.7569999999999999</v>
      </c>
      <c r="X29" s="93">
        <f t="shared" si="17"/>
        <v>0.7569999999999999</v>
      </c>
      <c r="Y29" s="93">
        <f t="shared" si="17"/>
        <v>3.0279999999999996</v>
      </c>
      <c r="Z29" s="63" t="s">
        <v>64</v>
      </c>
      <c r="AA29" s="51">
        <f>SUM(AA5:AA28)</f>
        <v>76.279827359050742</v>
      </c>
      <c r="AB29" s="52">
        <f>SUM(AB5:AB28)</f>
        <v>71.865758451400069</v>
      </c>
    </row>
    <row r="30" spans="1:28" x14ac:dyDescent="0.25">
      <c r="C30" s="17"/>
    </row>
    <row r="31" spans="1:28" x14ac:dyDescent="0.25">
      <c r="A31" s="18" t="s">
        <v>37</v>
      </c>
      <c r="C31" s="6"/>
      <c r="D31" s="6"/>
      <c r="E31" s="6"/>
      <c r="F31" s="6"/>
      <c r="G31" s="6"/>
      <c r="H31" s="6"/>
      <c r="I31" s="6"/>
      <c r="J31" s="37">
        <f>+SUMIF($Z$5:$Z$28,$A31,J$5:J$28)</f>
        <v>50.981635490000002</v>
      </c>
      <c r="K31" s="6"/>
      <c r="L31" s="6"/>
      <c r="M31" s="6"/>
      <c r="N31" s="6"/>
      <c r="O31" s="37">
        <f>+SUMIF($Z$5:$Z$28,$A31,O$5:O$28)</f>
        <v>2.8016079999999999</v>
      </c>
      <c r="P31" s="6"/>
      <c r="Q31" s="6"/>
      <c r="R31" s="6"/>
      <c r="S31" s="6"/>
      <c r="T31" s="6"/>
      <c r="U31" s="6"/>
      <c r="V31" s="6"/>
      <c r="W31" s="6"/>
      <c r="X31" s="6"/>
      <c r="Y31" s="37">
        <f>+SUMIF($Z$5:$Z$28,$A31,Y$5:Y$28)</f>
        <v>1.6</v>
      </c>
      <c r="Z31" s="6"/>
      <c r="AA31" s="37">
        <f>+SUMIF($Z$5:$Z$28,$A31,AA$5:AA$28)</f>
        <v>35.307034453825338</v>
      </c>
      <c r="AB31" s="37">
        <f>+SUMIF($Z$5:$Z$28,$A31,AB$5:AB$28)</f>
        <v>30.892965546174665</v>
      </c>
    </row>
    <row r="32" spans="1:28" x14ac:dyDescent="0.25">
      <c r="A32" s="18" t="s">
        <v>29</v>
      </c>
      <c r="C32" s="6"/>
      <c r="D32" s="6"/>
      <c r="E32" s="6"/>
      <c r="F32" s="6"/>
      <c r="G32" s="6"/>
      <c r="H32" s="6"/>
      <c r="I32" s="6"/>
      <c r="J32" s="37">
        <f>+SUMIF($Z$5:$Z$28,$A32,J$5:J$28)</f>
        <v>11.026264100000001</v>
      </c>
      <c r="K32" s="6"/>
      <c r="L32" s="6"/>
      <c r="M32" s="6"/>
      <c r="N32" s="6"/>
      <c r="O32" s="37">
        <f>+SUMIF($Z$5:$Z$28,$A32,O$5:O$28)</f>
        <v>49.3449492069672</v>
      </c>
      <c r="P32" s="6"/>
      <c r="Q32" s="6"/>
      <c r="R32" s="6"/>
      <c r="S32" s="6"/>
      <c r="T32" s="6"/>
      <c r="U32" s="6"/>
      <c r="V32" s="6"/>
      <c r="W32" s="6"/>
      <c r="X32" s="6"/>
      <c r="Y32" s="37">
        <f>+SUMIF($Z$5:$Z$28,$A32,Y$5:Y$28)</f>
        <v>1.4280000000000002</v>
      </c>
      <c r="Z32" s="6"/>
      <c r="AA32" s="37">
        <f>+SUMIF($Z$5:$Z$28,$A32,AA$5:AA$28)</f>
        <v>40.972792905225404</v>
      </c>
      <c r="AB32" s="37">
        <f>+SUMIF($Z$5:$Z$28,$A32,AB$5:AB$28)</f>
        <v>40.972792905225404</v>
      </c>
    </row>
    <row r="33" spans="10:10" x14ac:dyDescent="0.25">
      <c r="J33" s="36"/>
    </row>
    <row r="35" spans="10:10" x14ac:dyDescent="0.25">
      <c r="J35" s="6"/>
    </row>
    <row r="36" spans="10:10" x14ac:dyDescent="0.25">
      <c r="J36" s="72"/>
    </row>
  </sheetData>
  <mergeCells count="1">
    <mergeCell ref="E3:K3"/>
  </mergeCells>
  <pageMargins left="0.25" right="0.25" top="0.25" bottom="0.25" header="0" footer="0"/>
  <pageSetup paperSize="5" scale="78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6FB3C-3978-4C35-85ED-4774DEA1C201}">
  <sheetPr>
    <pageSetUpPr fitToPage="1"/>
  </sheetPr>
  <dimension ref="A1:D49"/>
  <sheetViews>
    <sheetView topLeftCell="A3" workbookViewId="0">
      <selection activeCell="A25" sqref="A25"/>
    </sheetView>
  </sheetViews>
  <sheetFormatPr defaultRowHeight="15" outlineLevelRow="1" x14ac:dyDescent="0.25"/>
  <cols>
    <col min="1" max="1" width="34.140625" customWidth="1"/>
    <col min="2" max="2" width="21.140625" bestFit="1" customWidth="1"/>
    <col min="3" max="3" width="28.28515625" bestFit="1" customWidth="1"/>
    <col min="4" max="4" width="51.5703125" customWidth="1"/>
  </cols>
  <sheetData>
    <row r="1" spans="1:4" hidden="1" x14ac:dyDescent="0.25">
      <c r="A1" s="21" t="s">
        <v>65</v>
      </c>
      <c r="B1" s="22"/>
      <c r="C1" s="22"/>
      <c r="D1" s="22"/>
    </row>
    <row r="2" spans="1:4" hidden="1" x14ac:dyDescent="0.25"/>
    <row r="3" spans="1:4" outlineLevel="1" x14ac:dyDescent="0.25">
      <c r="A3" s="35" t="s">
        <v>66</v>
      </c>
      <c r="B3" s="35" t="s">
        <v>67</v>
      </c>
      <c r="C3" s="35" t="s">
        <v>68</v>
      </c>
      <c r="D3" s="35" t="s">
        <v>69</v>
      </c>
    </row>
    <row r="4" spans="1:4" outlineLevel="1" x14ac:dyDescent="0.25">
      <c r="A4" t="s">
        <v>70</v>
      </c>
      <c r="B4" s="5">
        <f>B8/4</f>
        <v>149.25</v>
      </c>
      <c r="C4" s="5">
        <v>14.9</v>
      </c>
      <c r="D4" t="s">
        <v>71</v>
      </c>
    </row>
    <row r="5" spans="1:4" outlineLevel="1" x14ac:dyDescent="0.25">
      <c r="A5" t="s">
        <v>72</v>
      </c>
      <c r="B5" s="5">
        <v>149.25</v>
      </c>
      <c r="C5" s="5">
        <v>14.9</v>
      </c>
      <c r="D5" t="s">
        <v>71</v>
      </c>
    </row>
    <row r="6" spans="1:4" outlineLevel="1" x14ac:dyDescent="0.25">
      <c r="A6" t="s">
        <v>73</v>
      </c>
      <c r="B6" s="5">
        <v>149.25</v>
      </c>
      <c r="C6" s="5">
        <v>14.9</v>
      </c>
      <c r="D6" t="s">
        <v>74</v>
      </c>
    </row>
    <row r="7" spans="1:4" outlineLevel="1" x14ac:dyDescent="0.25">
      <c r="A7" t="s">
        <v>75</v>
      </c>
      <c r="B7" s="5">
        <v>149.25</v>
      </c>
      <c r="C7" s="5">
        <v>14.9</v>
      </c>
      <c r="D7" t="s">
        <v>74</v>
      </c>
    </row>
    <row r="8" spans="1:4" outlineLevel="1" x14ac:dyDescent="0.25">
      <c r="B8" s="5">
        <v>597</v>
      </c>
      <c r="C8" s="5">
        <f>SUM(C4:C7)</f>
        <v>59.6</v>
      </c>
      <c r="D8" t="s">
        <v>76</v>
      </c>
    </row>
    <row r="9" spans="1:4" outlineLevel="1" x14ac:dyDescent="0.25">
      <c r="B9" s="5"/>
      <c r="C9" s="5"/>
    </row>
    <row r="10" spans="1:4" outlineLevel="1" x14ac:dyDescent="0.25">
      <c r="A10" s="21" t="s">
        <v>77</v>
      </c>
      <c r="B10" s="23"/>
      <c r="C10" s="23"/>
      <c r="D10" s="22"/>
    </row>
    <row r="11" spans="1:4" outlineLevel="1" x14ac:dyDescent="0.25">
      <c r="B11" s="5"/>
      <c r="C11" s="5"/>
    </row>
    <row r="12" spans="1:4" outlineLevel="1" x14ac:dyDescent="0.25">
      <c r="A12" s="7" t="s">
        <v>66</v>
      </c>
      <c r="B12" s="7" t="s">
        <v>67</v>
      </c>
      <c r="C12" s="7" t="s">
        <v>68</v>
      </c>
      <c r="D12" s="7" t="s">
        <v>69</v>
      </c>
    </row>
    <row r="13" spans="1:4" outlineLevel="1" x14ac:dyDescent="0.25">
      <c r="A13" t="s">
        <v>70</v>
      </c>
      <c r="B13" s="5">
        <v>166.7</v>
      </c>
      <c r="C13" s="5">
        <v>16.399999999999999</v>
      </c>
      <c r="D13" t="s">
        <v>71</v>
      </c>
    </row>
    <row r="14" spans="1:4" outlineLevel="1" x14ac:dyDescent="0.25">
      <c r="A14" t="s">
        <v>72</v>
      </c>
      <c r="B14" s="5">
        <v>170.7</v>
      </c>
      <c r="C14" s="5">
        <v>16.7</v>
      </c>
      <c r="D14" t="s">
        <v>71</v>
      </c>
    </row>
    <row r="15" spans="1:4" outlineLevel="1" x14ac:dyDescent="0.25">
      <c r="A15" t="s">
        <v>73</v>
      </c>
      <c r="B15" s="5">
        <v>168.7</v>
      </c>
      <c r="C15" s="5">
        <v>16.600000000000001</v>
      </c>
      <c r="D15" t="s">
        <v>74</v>
      </c>
    </row>
    <row r="16" spans="1:4" outlineLevel="1" x14ac:dyDescent="0.25">
      <c r="A16" t="s">
        <v>75</v>
      </c>
      <c r="B16" s="5">
        <v>168.7</v>
      </c>
      <c r="C16" s="5">
        <v>16.600000000000001</v>
      </c>
      <c r="D16" t="s">
        <v>74</v>
      </c>
    </row>
    <row r="17" spans="1:4" outlineLevel="1" x14ac:dyDescent="0.25">
      <c r="B17" s="5">
        <f>SUM(B13:B16)</f>
        <v>674.8</v>
      </c>
      <c r="C17" s="5">
        <f>SUM(C13:C16)</f>
        <v>66.3</v>
      </c>
      <c r="D17" t="s">
        <v>76</v>
      </c>
    </row>
    <row r="18" spans="1:4" outlineLevel="1" x14ac:dyDescent="0.25">
      <c r="B18" s="5"/>
      <c r="C18" s="5"/>
    </row>
    <row r="19" spans="1:4" x14ac:dyDescent="0.25">
      <c r="A19" s="21" t="s">
        <v>78</v>
      </c>
      <c r="B19" s="22"/>
      <c r="C19" s="22"/>
      <c r="D19" s="22"/>
    </row>
    <row r="21" spans="1:4" x14ac:dyDescent="0.25">
      <c r="A21" s="7" t="s">
        <v>66</v>
      </c>
      <c r="B21" s="7" t="s">
        <v>67</v>
      </c>
      <c r="C21" s="7" t="s">
        <v>68</v>
      </c>
      <c r="D21" s="7" t="s">
        <v>69</v>
      </c>
    </row>
    <row r="22" spans="1:4" x14ac:dyDescent="0.25">
      <c r="A22" t="s">
        <v>70</v>
      </c>
      <c r="B22" s="19">
        <v>168.5</v>
      </c>
      <c r="C22" s="19">
        <v>16.440000000000001</v>
      </c>
      <c r="D22" t="s">
        <v>71</v>
      </c>
    </row>
    <row r="23" spans="1:4" x14ac:dyDescent="0.25">
      <c r="A23" t="s">
        <v>72</v>
      </c>
      <c r="B23" s="19">
        <v>171.9</v>
      </c>
      <c r="C23" s="19">
        <v>16.73</v>
      </c>
      <c r="D23" t="s">
        <v>71</v>
      </c>
    </row>
    <row r="24" spans="1:4" x14ac:dyDescent="0.25">
      <c r="A24" t="s">
        <v>73</v>
      </c>
      <c r="B24" s="19">
        <v>174.3</v>
      </c>
      <c r="C24" s="19">
        <v>16.96</v>
      </c>
      <c r="D24" t="s">
        <v>79</v>
      </c>
    </row>
    <row r="25" spans="1:4" x14ac:dyDescent="0.25">
      <c r="A25" t="s">
        <v>75</v>
      </c>
      <c r="B25" s="19">
        <v>176</v>
      </c>
      <c r="C25" s="19">
        <v>17.100000000000001</v>
      </c>
      <c r="D25" t="s">
        <v>79</v>
      </c>
    </row>
    <row r="26" spans="1:4" x14ac:dyDescent="0.25">
      <c r="A26" t="s">
        <v>80</v>
      </c>
      <c r="B26" s="19">
        <v>50</v>
      </c>
      <c r="C26" s="19">
        <v>5</v>
      </c>
      <c r="D26" t="s">
        <v>81</v>
      </c>
    </row>
    <row r="27" spans="1:4" x14ac:dyDescent="0.25">
      <c r="B27" s="5">
        <f>SUM(B22:B26)</f>
        <v>740.7</v>
      </c>
      <c r="C27" s="20">
        <f>SUM(C22:C26)</f>
        <v>72.23</v>
      </c>
      <c r="D27" t="s">
        <v>76</v>
      </c>
    </row>
    <row r="28" spans="1:4" x14ac:dyDescent="0.25">
      <c r="A28" t="s">
        <v>82</v>
      </c>
      <c r="B28" s="5"/>
      <c r="C28" s="20"/>
    </row>
    <row r="29" spans="1:4" x14ac:dyDescent="0.25">
      <c r="B29" s="5"/>
      <c r="C29" s="20"/>
    </row>
    <row r="30" spans="1:4" x14ac:dyDescent="0.25">
      <c r="A30" s="21" t="s">
        <v>83</v>
      </c>
      <c r="B30" s="22"/>
      <c r="C30" s="22"/>
      <c r="D30" s="22"/>
    </row>
    <row r="31" spans="1:4" x14ac:dyDescent="0.25">
      <c r="A31" s="7" t="s">
        <v>66</v>
      </c>
      <c r="B31" s="7" t="s">
        <v>67</v>
      </c>
      <c r="C31" s="7" t="s">
        <v>68</v>
      </c>
      <c r="D31" s="7" t="s">
        <v>69</v>
      </c>
    </row>
    <row r="32" spans="1:4" x14ac:dyDescent="0.25">
      <c r="A32" t="s">
        <v>70</v>
      </c>
      <c r="B32" s="31">
        <v>175304085.45700008</v>
      </c>
      <c r="C32" s="31">
        <v>16700895.509700023</v>
      </c>
      <c r="D32" s="26" t="s">
        <v>88</v>
      </c>
    </row>
    <row r="33" spans="1:4" x14ac:dyDescent="0.25">
      <c r="A33" t="s">
        <v>72</v>
      </c>
      <c r="B33" s="31">
        <v>177656315.79199994</v>
      </c>
      <c r="C33" s="31">
        <v>16964340.57670005</v>
      </c>
      <c r="D33" s="26" t="s">
        <v>88</v>
      </c>
    </row>
    <row r="34" spans="1:4" x14ac:dyDescent="0.25">
      <c r="A34" t="s">
        <v>73</v>
      </c>
      <c r="B34" s="31">
        <v>194386318.54299977</v>
      </c>
      <c r="C34" s="31">
        <v>18638773.711300015</v>
      </c>
      <c r="D34" s="26" t="s">
        <v>88</v>
      </c>
    </row>
    <row r="35" spans="1:4" x14ac:dyDescent="0.25">
      <c r="A35" t="s">
        <v>75</v>
      </c>
      <c r="B35" s="31">
        <v>203425557.26699984</v>
      </c>
      <c r="C35" s="31">
        <v>19561748.653699983</v>
      </c>
      <c r="D35" s="26" t="s">
        <v>88</v>
      </c>
    </row>
    <row r="36" spans="1:4" x14ac:dyDescent="0.25">
      <c r="A36" t="s">
        <v>80</v>
      </c>
      <c r="B36" s="31">
        <v>0</v>
      </c>
      <c r="C36" s="31">
        <v>0</v>
      </c>
      <c r="D36" s="30"/>
    </row>
    <row r="37" spans="1:4" x14ac:dyDescent="0.25">
      <c r="B37" s="28">
        <f>SUM(B32:B36)</f>
        <v>750772277.05899966</v>
      </c>
      <c r="C37" s="27">
        <f>SUM(C32:C36)</f>
        <v>71865758.451400071</v>
      </c>
      <c r="D37" s="26" t="s">
        <v>94</v>
      </c>
    </row>
    <row r="38" spans="1:4" x14ac:dyDescent="0.25">
      <c r="A38" s="30" t="s">
        <v>84</v>
      </c>
      <c r="B38" s="28"/>
      <c r="C38" s="27"/>
    </row>
    <row r="39" spans="1:4" x14ac:dyDescent="0.25">
      <c r="A39" s="30"/>
      <c r="B39" s="28"/>
      <c r="C39" s="27"/>
    </row>
    <row r="40" spans="1:4" x14ac:dyDescent="0.25">
      <c r="A40" s="21" t="s">
        <v>89</v>
      </c>
      <c r="B40" s="22"/>
      <c r="C40" s="22"/>
      <c r="D40" s="22"/>
    </row>
    <row r="41" spans="1:4" x14ac:dyDescent="0.25">
      <c r="A41" s="7" t="s">
        <v>66</v>
      </c>
      <c r="B41" s="7" t="s">
        <v>67</v>
      </c>
      <c r="C41" s="7" t="s">
        <v>68</v>
      </c>
      <c r="D41" s="7" t="s">
        <v>69</v>
      </c>
    </row>
    <row r="42" spans="1:4" x14ac:dyDescent="0.25">
      <c r="A42" t="s">
        <v>90</v>
      </c>
      <c r="B42" s="29"/>
      <c r="C42" s="29"/>
      <c r="D42" s="26" t="s">
        <v>88</v>
      </c>
    </row>
    <row r="43" spans="1:4" x14ac:dyDescent="0.25">
      <c r="A43" t="s">
        <v>91</v>
      </c>
      <c r="B43" s="29"/>
      <c r="C43" s="29"/>
      <c r="D43" s="26" t="s">
        <v>88</v>
      </c>
    </row>
    <row r="44" spans="1:4" x14ac:dyDescent="0.25">
      <c r="A44" t="s">
        <v>92</v>
      </c>
      <c r="B44" s="29"/>
      <c r="C44" s="29"/>
      <c r="D44" s="26" t="s">
        <v>88</v>
      </c>
    </row>
    <row r="45" spans="1:4" x14ac:dyDescent="0.25">
      <c r="A45" t="s">
        <v>93</v>
      </c>
      <c r="B45" s="29"/>
      <c r="C45" s="29"/>
      <c r="D45" s="26" t="s">
        <v>88</v>
      </c>
    </row>
    <row r="46" spans="1:4" x14ac:dyDescent="0.25">
      <c r="A46" t="s">
        <v>80</v>
      </c>
      <c r="B46" s="31">
        <v>0</v>
      </c>
      <c r="C46" s="31">
        <v>0</v>
      </c>
      <c r="D46" s="30"/>
    </row>
    <row r="47" spans="1:4" x14ac:dyDescent="0.25">
      <c r="B47" s="28">
        <f>SUM(B42:B46)</f>
        <v>0</v>
      </c>
      <c r="C47" s="27">
        <f>SUM(C42:C46)</f>
        <v>0</v>
      </c>
      <c r="D47" t="s">
        <v>76</v>
      </c>
    </row>
    <row r="49" s="30" customFormat="1" x14ac:dyDescent="0.25"/>
  </sheetData>
  <pageMargins left="0.7" right="0.7" top="0.75" bottom="0.75" header="0.3" footer="0.3"/>
  <pageSetup scale="6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51ABC9319E0140B72900DAACF832D6" ma:contentTypeVersion="19" ma:contentTypeDescription="Create a new document." ma:contentTypeScope="" ma:versionID="c8322529eda064e89ce0a3aafeb52cc1">
  <xsd:schema xmlns:xsd="http://www.w3.org/2001/XMLSchema" xmlns:xs="http://www.w3.org/2001/XMLSchema" xmlns:p="http://schemas.microsoft.com/office/2006/metadata/properties" xmlns:ns2="2d727684-7218-4c4c-b8f9-db706b5ec5c1" xmlns:ns3="7bdcdbe7-1b59-4267-ac42-6a538006b42e" targetNamespace="http://schemas.microsoft.com/office/2006/metadata/properties" ma:root="true" ma:fieldsID="079db614b8959d34c6aa9f49d3e32699" ns2:_="" ns3:_="">
    <xsd:import namespace="2d727684-7218-4c4c-b8f9-db706b5ec5c1"/>
    <xsd:import namespace="7bdcdbe7-1b59-4267-ac42-6a538006b4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_x0023_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Checked_x0020_Out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727684-7218-4c4c-b8f9-db706b5ec5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_x0023_" ma:index="15" nillable="true" ma:displayName="#" ma:description="Sorting Order" ma:internalName="_x0023_" ma:percentage="FALSE">
      <xsd:simpleType>
        <xsd:restriction base="dms:Number">
          <xsd:minInclusive value="1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hecked_x0020_Out" ma:index="21" nillable="true" ma:displayName="Checked Out" ma:default="1" ma:description="Checked out" ma:internalName="Checked_x0020_Out">
      <xsd:simpleType>
        <xsd:restriction base="dms:Boolean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b91372f1-af24-4813-95c0-48b264847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dcdbe7-1b59-4267-ac42-6a538006b42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78b31a12-4d27-4064-85c0-e0356db98907}" ma:internalName="TaxCatchAll" ma:showField="CatchAllData" ma:web="7bdcdbe7-1b59-4267-ac42-6a538006b4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23_ xmlns="2d727684-7218-4c4c-b8f9-db706b5ec5c1" xsi:nil="true"/>
    <Checked_x0020_Out xmlns="2d727684-7218-4c4c-b8f9-db706b5ec5c1">true</Checked_x0020_Out>
    <lcf76f155ced4ddcb4097134ff3c332f xmlns="2d727684-7218-4c4c-b8f9-db706b5ec5c1">
      <Terms xmlns="http://schemas.microsoft.com/office/infopath/2007/PartnerControls"/>
    </lcf76f155ced4ddcb4097134ff3c332f>
    <TaxCatchAll xmlns="7bdcdbe7-1b59-4267-ac42-6a538006b42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AD0FAC-9053-42CE-86C5-67265CED65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727684-7218-4c4c-b8f9-db706b5ec5c1"/>
    <ds:schemaRef ds:uri="7bdcdbe7-1b59-4267-ac42-6a538006b4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FCFDD1-9734-4CC4-BED6-934A2EAEF487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2d727684-7218-4c4c-b8f9-db706b5ec5c1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7bdcdbe7-1b59-4267-ac42-6a538006b42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B7CDBB6-BD82-4CE8-917A-534420D1A2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HCBS EFMAP Spending Plan Update</vt:lpstr>
      <vt:lpstr>Claiming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Harrigan, Sarah (OHHS)</dc:creator>
  <cp:keywords/>
  <dc:description/>
  <cp:lastModifiedBy>Tse, Lisa (OHHS)</cp:lastModifiedBy>
  <cp:revision/>
  <cp:lastPrinted>2022-10-12T19:31:01Z</cp:lastPrinted>
  <dcterms:created xsi:type="dcterms:W3CDTF">2022-01-28T16:31:19Z</dcterms:created>
  <dcterms:modified xsi:type="dcterms:W3CDTF">2022-10-18T17:40:02Z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0x0101008851ABC9319E0140B72900DAACF832D6</vt:lpwstr>
  </property>
  <property fmtid="{D5CDD505-2E9C-101B-9397-08002B2CF9AE}" pid="3" name="MediaServiceImageTags">
    <vt:lpwstr/>
  </property>
</Properties>
</file>