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7. CMS Quarterly Update_Jan 2023/"/>
    </mc:Choice>
  </mc:AlternateContent>
  <xr:revisionPtr revIDLastSave="46" documentId="8_{2B6ED3AD-D990-431F-B88C-F6C4BBA473D4}" xr6:coauthVersionLast="47" xr6:coauthVersionMax="47" xr10:uidLastSave="{B8781B9E-0C7C-4EBF-942E-6E6B14D02F3F}"/>
  <bookViews>
    <workbookView xWindow="-120" yWindow="-120" windowWidth="20730" windowHeight="11160" xr2:uid="{5397A47B-81C0-49DE-A4F6-8E0DD225DE33}"/>
  </bookViews>
  <sheets>
    <sheet name="JAN 23 HCBS Spending Update" sheetId="3" r:id="rId1"/>
    <sheet name="Claiming" sheetId="7" r:id="rId2"/>
    <sheet name="OCT 22 HCBS Spending Update" sheetId="2" state="hidden" r:id="rId3"/>
    <sheet name="JUL 22 HCBS Spending Plan Upda" sheetId="4" state="hidden" r:id="rId4"/>
    <sheet name="APR 22 HCBS Spending Plan Updat" sheetId="5" state="hidden" r:id="rId5"/>
    <sheet name="JAN 22 HCBS Spending Plan Updat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3" l="1"/>
  <c r="P32" i="3"/>
  <c r="K31" i="3"/>
  <c r="P31" i="3"/>
  <c r="U31" i="3"/>
  <c r="W7" i="3"/>
  <c r="X7" i="3"/>
  <c r="W15" i="3"/>
  <c r="W16" i="3"/>
  <c r="W17" i="3"/>
  <c r="W14" i="3"/>
  <c r="W32" i="3"/>
  <c r="F32" i="3"/>
  <c r="F31" i="3"/>
  <c r="Q28" i="3"/>
  <c r="N28" i="3"/>
  <c r="J28" i="3"/>
  <c r="D28" i="3"/>
  <c r="F26" i="3"/>
  <c r="F29" i="3" s="1"/>
  <c r="D26" i="3"/>
  <c r="Q25" i="3"/>
  <c r="L25" i="3"/>
  <c r="H25" i="3"/>
  <c r="U24" i="3"/>
  <c r="L24" i="3"/>
  <c r="K24" i="3"/>
  <c r="U23" i="3"/>
  <c r="L23" i="3"/>
  <c r="K23" i="3"/>
  <c r="U22" i="3"/>
  <c r="O22" i="3"/>
  <c r="N22" i="3"/>
  <c r="M22" i="3"/>
  <c r="P22" i="3" s="1"/>
  <c r="H22" i="3"/>
  <c r="K22" i="3" s="1"/>
  <c r="U21" i="3"/>
  <c r="P21" i="3"/>
  <c r="H21" i="3"/>
  <c r="K21" i="3" s="1"/>
  <c r="U20" i="3"/>
  <c r="P20" i="3"/>
  <c r="K20" i="3"/>
  <c r="U19" i="3"/>
  <c r="P19" i="3"/>
  <c r="K19" i="3"/>
  <c r="U18" i="3"/>
  <c r="L18" i="3"/>
  <c r="H18" i="3"/>
  <c r="I18" i="3" s="1"/>
  <c r="J18" i="3" s="1"/>
  <c r="G18" i="3"/>
  <c r="K18" i="3" s="1"/>
  <c r="Q17" i="3"/>
  <c r="L17" i="3"/>
  <c r="K17" i="3"/>
  <c r="Q16" i="3"/>
  <c r="L16" i="3"/>
  <c r="J16" i="3"/>
  <c r="K16" i="3" s="1"/>
  <c r="Q15" i="3"/>
  <c r="L15" i="3"/>
  <c r="J15" i="3"/>
  <c r="K15" i="3" s="1"/>
  <c r="Q14" i="3"/>
  <c r="L14" i="3"/>
  <c r="H14" i="3"/>
  <c r="G14" i="3"/>
  <c r="U13" i="3"/>
  <c r="L13" i="3"/>
  <c r="H13" i="3"/>
  <c r="K13" i="3" s="1"/>
  <c r="U12" i="3"/>
  <c r="P12" i="3"/>
  <c r="K12" i="3"/>
  <c r="Q11" i="3"/>
  <c r="P11" i="3"/>
  <c r="K11" i="3"/>
  <c r="U10" i="3"/>
  <c r="P10" i="3"/>
  <c r="J10" i="3"/>
  <c r="H10" i="3"/>
  <c r="U9" i="3"/>
  <c r="P9" i="3"/>
  <c r="K9" i="3"/>
  <c r="U8" i="3"/>
  <c r="P8" i="3"/>
  <c r="I8" i="3"/>
  <c r="U7" i="3"/>
  <c r="P7" i="3"/>
  <c r="I7" i="3"/>
  <c r="X6" i="3"/>
  <c r="X32" i="3" s="1"/>
  <c r="U6" i="3"/>
  <c r="P6" i="3"/>
  <c r="H6" i="3"/>
  <c r="Q5" i="3"/>
  <c r="P5" i="3"/>
  <c r="K5" i="3"/>
  <c r="E2" i="3"/>
  <c r="C47" i="7"/>
  <c r="B47" i="7"/>
  <c r="C37" i="7"/>
  <c r="B37" i="7"/>
  <c r="C27" i="7"/>
  <c r="B27" i="7"/>
  <c r="C17" i="7"/>
  <c r="B17" i="7"/>
  <c r="C8" i="7"/>
  <c r="B4" i="7"/>
  <c r="U22" i="6"/>
  <c r="V22" i="6" s="1"/>
  <c r="U20" i="6"/>
  <c r="V20" i="6" s="1"/>
  <c r="U14" i="6"/>
  <c r="V14" i="6" s="1"/>
  <c r="U13" i="6"/>
  <c r="V13" i="6" s="1"/>
  <c r="U12" i="6"/>
  <c r="V12" i="6" s="1"/>
  <c r="U11" i="6"/>
  <c r="V11" i="6" s="1"/>
  <c r="U10" i="6"/>
  <c r="V10" i="6" s="1"/>
  <c r="U9" i="6"/>
  <c r="V9" i="6" s="1"/>
  <c r="U7" i="6"/>
  <c r="V7" i="6" s="1"/>
  <c r="U6" i="6"/>
  <c r="V6" i="6" s="1"/>
  <c r="U5" i="6"/>
  <c r="V5" i="6" s="1"/>
  <c r="U4" i="6"/>
  <c r="V4" i="6" s="1"/>
  <c r="R26" i="5"/>
  <c r="Q26" i="5"/>
  <c r="N26" i="5"/>
  <c r="M26" i="5"/>
  <c r="L26" i="5"/>
  <c r="J26" i="5"/>
  <c r="I26" i="5"/>
  <c r="H26" i="5"/>
  <c r="G26" i="5"/>
  <c r="F26" i="5"/>
  <c r="K25" i="5"/>
  <c r="P25" i="5"/>
  <c r="O25" i="5" s="1"/>
  <c r="O26" i="5" s="1"/>
  <c r="W24" i="5"/>
  <c r="V24" i="5"/>
  <c r="T24" i="5"/>
  <c r="P24" i="5"/>
  <c r="K24" i="5"/>
  <c r="T23" i="5"/>
  <c r="P23" i="5"/>
  <c r="K23" i="5"/>
  <c r="V22" i="5"/>
  <c r="W22" i="5" s="1"/>
  <c r="T22" i="5"/>
  <c r="P22" i="5"/>
  <c r="K22" i="5"/>
  <c r="T21" i="5"/>
  <c r="P21" i="5"/>
  <c r="K21" i="5"/>
  <c r="W20" i="5"/>
  <c r="V20" i="5"/>
  <c r="T20" i="5"/>
  <c r="P20" i="5"/>
  <c r="K20" i="5"/>
  <c r="T19" i="5"/>
  <c r="T28" i="5" s="1"/>
  <c r="P19" i="5"/>
  <c r="K19" i="5"/>
  <c r="V18" i="5"/>
  <c r="W18" i="5" s="1"/>
  <c r="T18" i="5"/>
  <c r="P18" i="5"/>
  <c r="K18" i="5"/>
  <c r="W17" i="5"/>
  <c r="V17" i="5"/>
  <c r="T17" i="5"/>
  <c r="P17" i="5"/>
  <c r="K17" i="5"/>
  <c r="W15" i="5"/>
  <c r="V15" i="5"/>
  <c r="T15" i="5"/>
  <c r="P15" i="5"/>
  <c r="K15" i="5"/>
  <c r="V14" i="5"/>
  <c r="W14" i="5" s="1"/>
  <c r="T14" i="5"/>
  <c r="P14" i="5"/>
  <c r="K14" i="5"/>
  <c r="V13" i="5"/>
  <c r="W13" i="5" s="1"/>
  <c r="T13" i="5"/>
  <c r="P13" i="5"/>
  <c r="K13" i="5"/>
  <c r="W12" i="5"/>
  <c r="V12" i="5"/>
  <c r="T12" i="5"/>
  <c r="P12" i="5"/>
  <c r="K12" i="5"/>
  <c r="W11" i="5"/>
  <c r="V11" i="5"/>
  <c r="T11" i="5"/>
  <c r="P11" i="5"/>
  <c r="K11" i="5"/>
  <c r="V10" i="5"/>
  <c r="W10" i="5" s="1"/>
  <c r="T10" i="5"/>
  <c r="P10" i="5"/>
  <c r="K10" i="5"/>
  <c r="V9" i="5"/>
  <c r="T9" i="5"/>
  <c r="P9" i="5"/>
  <c r="P28" i="5" s="1"/>
  <c r="K9" i="5"/>
  <c r="K28" i="5" s="1"/>
  <c r="W8" i="5"/>
  <c r="V8" i="5"/>
  <c r="T8" i="5"/>
  <c r="P8" i="5"/>
  <c r="K8" i="5"/>
  <c r="W7" i="5"/>
  <c r="V7" i="5"/>
  <c r="T7" i="5"/>
  <c r="P7" i="5"/>
  <c r="P29" i="5" s="1"/>
  <c r="K7" i="5"/>
  <c r="V6" i="5"/>
  <c r="W6" i="5" s="1"/>
  <c r="T6" i="5"/>
  <c r="P6" i="5"/>
  <c r="K6" i="5"/>
  <c r="V5" i="5"/>
  <c r="T5" i="5"/>
  <c r="P5" i="5"/>
  <c r="P26" i="5" s="1"/>
  <c r="K5" i="5"/>
  <c r="K29" i="5" s="1"/>
  <c r="T2" i="5"/>
  <c r="P2" i="5"/>
  <c r="K2" i="5"/>
  <c r="G2" i="5"/>
  <c r="V21" i="5" s="1"/>
  <c r="W21" i="5" s="1"/>
  <c r="Q26" i="3" l="1"/>
  <c r="R5" i="3"/>
  <c r="H26" i="3"/>
  <c r="H29" i="3" s="1"/>
  <c r="K6" i="3"/>
  <c r="J7" i="3"/>
  <c r="J8" i="3"/>
  <c r="K8" i="3" s="1"/>
  <c r="K10" i="3"/>
  <c r="T11" i="3"/>
  <c r="S11" i="3"/>
  <c r="R11" i="3"/>
  <c r="U11" i="3" s="1"/>
  <c r="L26" i="3"/>
  <c r="L29" i="3" s="1"/>
  <c r="O13" i="3"/>
  <c r="N13" i="3"/>
  <c r="M13" i="3"/>
  <c r="G26" i="3"/>
  <c r="G29" i="3" s="1"/>
  <c r="I14" i="3"/>
  <c r="O14" i="3"/>
  <c r="N14" i="3"/>
  <c r="M14" i="3"/>
  <c r="P14" i="3" s="1"/>
  <c r="T14" i="3"/>
  <c r="S14" i="3"/>
  <c r="R14" i="3"/>
  <c r="U14" i="3" s="1"/>
  <c r="O15" i="3"/>
  <c r="N15" i="3"/>
  <c r="M15" i="3"/>
  <c r="P15" i="3" s="1"/>
  <c r="T15" i="3"/>
  <c r="S15" i="3"/>
  <c r="R15" i="3"/>
  <c r="U15" i="3" s="1"/>
  <c r="O16" i="3"/>
  <c r="N16" i="3"/>
  <c r="M16" i="3"/>
  <c r="P16" i="3" s="1"/>
  <c r="T16" i="3"/>
  <c r="S16" i="3"/>
  <c r="R16" i="3"/>
  <c r="U16" i="3" s="1"/>
  <c r="O17" i="3"/>
  <c r="N17" i="3"/>
  <c r="M17" i="3"/>
  <c r="P17" i="3" s="1"/>
  <c r="T17" i="3"/>
  <c r="S17" i="3"/>
  <c r="R17" i="3"/>
  <c r="U17" i="3" s="1"/>
  <c r="O18" i="3"/>
  <c r="N18" i="3"/>
  <c r="M18" i="3"/>
  <c r="P18" i="3" s="1"/>
  <c r="O23" i="3"/>
  <c r="N23" i="3"/>
  <c r="M23" i="3"/>
  <c r="P23" i="3" s="1"/>
  <c r="O24" i="3"/>
  <c r="N24" i="3"/>
  <c r="M24" i="3"/>
  <c r="P24" i="3" s="1"/>
  <c r="I25" i="3"/>
  <c r="O25" i="3"/>
  <c r="N25" i="3"/>
  <c r="M25" i="3"/>
  <c r="P25" i="3" s="1"/>
  <c r="T25" i="3"/>
  <c r="S25" i="3"/>
  <c r="R25" i="3"/>
  <c r="U25" i="3" s="1"/>
  <c r="K28" i="3"/>
  <c r="P28" i="3"/>
  <c r="Q29" i="3"/>
  <c r="U28" i="3"/>
  <c r="E26" i="5"/>
  <c r="W5" i="5"/>
  <c r="W9" i="5"/>
  <c r="V19" i="5"/>
  <c r="W19" i="5" s="1"/>
  <c r="V23" i="5"/>
  <c r="W23" i="5" s="1"/>
  <c r="T25" i="5"/>
  <c r="S25" i="5" s="1"/>
  <c r="S26" i="5" s="1"/>
  <c r="T29" i="5"/>
  <c r="K26" i="5"/>
  <c r="J25" i="3" l="1"/>
  <c r="K25" i="3"/>
  <c r="J14" i="3"/>
  <c r="I26" i="3"/>
  <c r="I29" i="3" s="1"/>
  <c r="K14" i="3"/>
  <c r="M26" i="3"/>
  <c r="M29" i="3" s="1"/>
  <c r="P13" i="3"/>
  <c r="P26" i="3" s="1"/>
  <c r="P29" i="3" s="1"/>
  <c r="N26" i="3"/>
  <c r="N29" i="3" s="1"/>
  <c r="O26" i="3"/>
  <c r="O29" i="3" s="1"/>
  <c r="U32" i="3"/>
  <c r="J26" i="3"/>
  <c r="J29" i="3" s="1"/>
  <c r="K7" i="3"/>
  <c r="K26" i="3"/>
  <c r="K29" i="3" s="1"/>
  <c r="R26" i="3"/>
  <c r="R29" i="3" s="1"/>
  <c r="S5" i="3"/>
  <c r="W28" i="5"/>
  <c r="W29" i="5"/>
  <c r="V25" i="5"/>
  <c r="V29" i="5" s="1"/>
  <c r="W26" i="5"/>
  <c r="T26" i="5"/>
  <c r="V26" i="5"/>
  <c r="V28" i="5"/>
  <c r="S26" i="3" l="1"/>
  <c r="S29" i="3" s="1"/>
  <c r="T5" i="3"/>
  <c r="K29" i="4"/>
  <c r="X27" i="4"/>
  <c r="W27" i="4"/>
  <c r="V27" i="4"/>
  <c r="R27" i="4"/>
  <c r="Q27" i="4"/>
  <c r="N27" i="4"/>
  <c r="M27" i="4"/>
  <c r="L27" i="4"/>
  <c r="J27" i="4"/>
  <c r="I27" i="4"/>
  <c r="H27" i="4"/>
  <c r="G27" i="4"/>
  <c r="F27" i="4"/>
  <c r="Y26" i="4"/>
  <c r="K26" i="4"/>
  <c r="AA25" i="4"/>
  <c r="Y25" i="4"/>
  <c r="AB24" i="4"/>
  <c r="AA24" i="4"/>
  <c r="Y24" i="4"/>
  <c r="P24" i="4"/>
  <c r="K24" i="4"/>
  <c r="Y23" i="4"/>
  <c r="U23" i="4"/>
  <c r="P23" i="4"/>
  <c r="AA22" i="4"/>
  <c r="AB22" i="4" s="1"/>
  <c r="Y22" i="4"/>
  <c r="U22" i="4"/>
  <c r="P22" i="4"/>
  <c r="K22" i="4"/>
  <c r="Y21" i="4"/>
  <c r="U21" i="4"/>
  <c r="P21" i="4"/>
  <c r="P29" i="4" s="1"/>
  <c r="K21" i="4"/>
  <c r="AA20" i="4"/>
  <c r="AB20" i="4" s="1"/>
  <c r="Y20" i="4"/>
  <c r="U20" i="4"/>
  <c r="P20" i="4"/>
  <c r="K20" i="4"/>
  <c r="AB19" i="4"/>
  <c r="AA19" i="4"/>
  <c r="Y19" i="4"/>
  <c r="U19" i="4"/>
  <c r="P19" i="4"/>
  <c r="K19" i="4"/>
  <c r="AA18" i="4"/>
  <c r="AB18" i="4" s="1"/>
  <c r="Y18" i="4"/>
  <c r="U18" i="4"/>
  <c r="P18" i="4"/>
  <c r="K18" i="4"/>
  <c r="AB17" i="4"/>
  <c r="AA17" i="4"/>
  <c r="Y17" i="4"/>
  <c r="U17" i="4"/>
  <c r="P17" i="4"/>
  <c r="K17" i="4"/>
  <c r="AA16" i="4"/>
  <c r="Y16" i="4"/>
  <c r="U16" i="4"/>
  <c r="AA15" i="4"/>
  <c r="AB15" i="4" s="1"/>
  <c r="Y15" i="4"/>
  <c r="U15" i="4"/>
  <c r="P15" i="4"/>
  <c r="K15" i="4"/>
  <c r="AA14" i="4"/>
  <c r="AB14" i="4" s="1"/>
  <c r="Y14" i="4"/>
  <c r="U14" i="4"/>
  <c r="P14" i="4"/>
  <c r="K14" i="4"/>
  <c r="K30" i="4" s="1"/>
  <c r="AA13" i="4"/>
  <c r="AB13" i="4" s="1"/>
  <c r="Y13" i="4"/>
  <c r="U13" i="4"/>
  <c r="T13" i="4"/>
  <c r="P13" i="4"/>
  <c r="K13" i="4"/>
  <c r="AB12" i="4"/>
  <c r="AA12" i="4"/>
  <c r="Y12" i="4"/>
  <c r="U12" i="4"/>
  <c r="P12" i="4"/>
  <c r="K12" i="4"/>
  <c r="AA11" i="4"/>
  <c r="AB11" i="4" s="1"/>
  <c r="Y11" i="4"/>
  <c r="U11" i="4"/>
  <c r="P11" i="4"/>
  <c r="K11" i="4"/>
  <c r="AB10" i="4"/>
  <c r="AA10" i="4"/>
  <c r="Y10" i="4"/>
  <c r="U10" i="4"/>
  <c r="P10" i="4"/>
  <c r="K10" i="4"/>
  <c r="AA9" i="4"/>
  <c r="Y9" i="4"/>
  <c r="U9" i="4"/>
  <c r="P9" i="4"/>
  <c r="K9" i="4"/>
  <c r="AB8" i="4"/>
  <c r="AA8" i="4"/>
  <c r="Y8" i="4"/>
  <c r="U8" i="4"/>
  <c r="P8" i="4"/>
  <c r="K8" i="4"/>
  <c r="AA7" i="4"/>
  <c r="AB7" i="4" s="1"/>
  <c r="Y7" i="4"/>
  <c r="U7" i="4"/>
  <c r="P7" i="4"/>
  <c r="K7" i="4"/>
  <c r="AB6" i="4"/>
  <c r="AA6" i="4"/>
  <c r="Y6" i="4"/>
  <c r="U6" i="4"/>
  <c r="P6" i="4"/>
  <c r="AA5" i="4"/>
  <c r="AB5" i="4" s="1"/>
  <c r="Y5" i="4"/>
  <c r="Y27" i="4" s="1"/>
  <c r="U5" i="4"/>
  <c r="P5" i="4"/>
  <c r="K5" i="4"/>
  <c r="K27" i="4" s="1"/>
  <c r="P2" i="4"/>
  <c r="K2" i="4"/>
  <c r="G2" i="4"/>
  <c r="AA21" i="4" s="1"/>
  <c r="AB21" i="4" s="1"/>
  <c r="T26" i="3" l="1"/>
  <c r="T29" i="3" s="1"/>
  <c r="U5" i="3"/>
  <c r="W5" i="3" s="1"/>
  <c r="W31" i="3" s="1"/>
  <c r="AB9" i="4"/>
  <c r="AB29" i="4" s="1"/>
  <c r="AA23" i="4"/>
  <c r="AB23" i="4" s="1"/>
  <c r="U26" i="3" l="1"/>
  <c r="U29" i="3" s="1"/>
  <c r="AA29" i="4"/>
  <c r="W29" i="3" l="1"/>
  <c r="X5" i="3"/>
  <c r="AA26" i="4"/>
  <c r="E26" i="4" s="1"/>
  <c r="AB30" i="4"/>
  <c r="AB27" i="4"/>
  <c r="X29" i="3" l="1"/>
  <c r="X31" i="3"/>
  <c r="P26" i="4"/>
  <c r="E27" i="4"/>
  <c r="T26" i="4"/>
  <c r="AA30" i="4"/>
  <c r="AA27" i="4"/>
  <c r="S26" i="4" l="1"/>
  <c r="T27" i="4"/>
  <c r="O26" i="4"/>
  <c r="O27" i="4" s="1"/>
  <c r="P30" i="4"/>
  <c r="P27" i="4"/>
  <c r="S27" i="4" l="1"/>
  <c r="U26" i="4"/>
  <c r="U27" i="4" s="1"/>
  <c r="Y28" i="2" l="1"/>
  <c r="J28" i="2"/>
  <c r="G26" i="2"/>
  <c r="G29" i="2" s="1"/>
  <c r="E26" i="2"/>
  <c r="E29" i="2" s="1"/>
  <c r="D26" i="2"/>
  <c r="AA25" i="2"/>
  <c r="U25" i="2"/>
  <c r="X25" i="2" s="1"/>
  <c r="P25" i="2"/>
  <c r="S25" i="2" s="1"/>
  <c r="L25" i="2"/>
  <c r="M25" i="2" s="1"/>
  <c r="N25" i="2" s="1"/>
  <c r="J25" i="2"/>
  <c r="I25" i="2"/>
  <c r="AA24" i="2"/>
  <c r="AB24" i="2" s="1"/>
  <c r="Y24" i="2"/>
  <c r="R24" i="2"/>
  <c r="Q24" i="2"/>
  <c r="P24" i="2"/>
  <c r="O24" i="2"/>
  <c r="F24" i="2"/>
  <c r="J24" i="2" s="1"/>
  <c r="AA23" i="2"/>
  <c r="AB23" i="2" s="1"/>
  <c r="Y23" i="2"/>
  <c r="P23" i="2"/>
  <c r="S23" i="2" s="1"/>
  <c r="O23" i="2"/>
  <c r="J23" i="2"/>
  <c r="AA22" i="2"/>
  <c r="AB22" i="2" s="1"/>
  <c r="Y22" i="2"/>
  <c r="S22" i="2"/>
  <c r="R22" i="2"/>
  <c r="P22" i="2"/>
  <c r="Q22" i="2" s="1"/>
  <c r="L22" i="2"/>
  <c r="M22" i="2" s="1"/>
  <c r="J22" i="2"/>
  <c r="AB21" i="2"/>
  <c r="AA21" i="2"/>
  <c r="Y21" i="2"/>
  <c r="T21" i="2"/>
  <c r="O21" i="2"/>
  <c r="I21" i="2"/>
  <c r="H21" i="2"/>
  <c r="J21" i="2" s="1"/>
  <c r="AB20" i="2"/>
  <c r="AA20" i="2"/>
  <c r="Y20" i="2"/>
  <c r="T20" i="2"/>
  <c r="O20" i="2"/>
  <c r="H20" i="2"/>
  <c r="J20" i="2" s="1"/>
  <c r="Y19" i="2"/>
  <c r="T19" i="2"/>
  <c r="O19" i="2"/>
  <c r="J19" i="2"/>
  <c r="G19" i="2"/>
  <c r="AA18" i="2"/>
  <c r="AB18" i="2" s="1"/>
  <c r="Y18" i="2"/>
  <c r="S18" i="2"/>
  <c r="R18" i="2"/>
  <c r="Q18" i="2"/>
  <c r="P18" i="2"/>
  <c r="T18" i="2" s="1"/>
  <c r="K18" i="2"/>
  <c r="L18" i="2" s="1"/>
  <c r="M18" i="2" s="1"/>
  <c r="N18" i="2" s="1"/>
  <c r="J18" i="2"/>
  <c r="AB17" i="2"/>
  <c r="AA17" i="2"/>
  <c r="X17" i="2"/>
  <c r="W17" i="2"/>
  <c r="U17" i="2"/>
  <c r="V17" i="2" s="1"/>
  <c r="S17" i="2"/>
  <c r="P17" i="2"/>
  <c r="R17" i="2" s="1"/>
  <c r="L17" i="2"/>
  <c r="M17" i="2" s="1"/>
  <c r="J17" i="2"/>
  <c r="AA16" i="2"/>
  <c r="AB16" i="2" s="1"/>
  <c r="X16" i="2"/>
  <c r="U16" i="2"/>
  <c r="W16" i="2" s="1"/>
  <c r="P16" i="2"/>
  <c r="S16" i="2" s="1"/>
  <c r="L16" i="2"/>
  <c r="J16" i="2"/>
  <c r="AA15" i="2"/>
  <c r="AB15" i="2" s="1"/>
  <c r="U15" i="2"/>
  <c r="X15" i="2" s="1"/>
  <c r="S15" i="2"/>
  <c r="R15" i="2"/>
  <c r="Q15" i="2"/>
  <c r="P15" i="2"/>
  <c r="T15" i="2" s="1"/>
  <c r="M15" i="2"/>
  <c r="L15" i="2"/>
  <c r="J15" i="2"/>
  <c r="AA14" i="2"/>
  <c r="AB14" i="2" s="1"/>
  <c r="X14" i="2"/>
  <c r="W14" i="2"/>
  <c r="V14" i="2"/>
  <c r="U14" i="2"/>
  <c r="Y14" i="2" s="1"/>
  <c r="S14" i="2"/>
  <c r="R14" i="2"/>
  <c r="P14" i="2"/>
  <c r="Q14" i="2" s="1"/>
  <c r="K14" i="2"/>
  <c r="L14" i="2" s="1"/>
  <c r="M14" i="2" s="1"/>
  <c r="N14" i="2" s="1"/>
  <c r="J14" i="2"/>
  <c r="I14" i="2"/>
  <c r="I26" i="2" s="1"/>
  <c r="I29" i="2" s="1"/>
  <c r="Y13" i="2"/>
  <c r="S13" i="2"/>
  <c r="R13" i="2"/>
  <c r="Q13" i="2"/>
  <c r="P13" i="2"/>
  <c r="T13" i="2" s="1"/>
  <c r="M13" i="2"/>
  <c r="N13" i="2" s="1"/>
  <c r="L13" i="2"/>
  <c r="J13" i="2"/>
  <c r="AA12" i="2"/>
  <c r="AB12" i="2" s="1"/>
  <c r="Y12" i="2"/>
  <c r="T12" i="2"/>
  <c r="O12" i="2"/>
  <c r="J12" i="2"/>
  <c r="H12" i="2"/>
  <c r="H26" i="2" s="1"/>
  <c r="H29" i="2" s="1"/>
  <c r="AA11" i="2"/>
  <c r="X11" i="2"/>
  <c r="U11" i="2"/>
  <c r="W11" i="2" s="1"/>
  <c r="T11" i="2"/>
  <c r="J11" i="2"/>
  <c r="Y10" i="2"/>
  <c r="T10" i="2"/>
  <c r="L10" i="2"/>
  <c r="M10" i="2" s="1"/>
  <c r="N10" i="2" s="1"/>
  <c r="J10" i="2"/>
  <c r="AA9" i="2"/>
  <c r="AB9" i="2" s="1"/>
  <c r="Y9" i="2"/>
  <c r="T9" i="2"/>
  <c r="M9" i="2"/>
  <c r="L9" i="2"/>
  <c r="J9" i="2"/>
  <c r="AA8" i="2"/>
  <c r="AB8" i="2" s="1"/>
  <c r="Y8" i="2"/>
  <c r="T8" i="2"/>
  <c r="L8" i="2"/>
  <c r="M8" i="2" s="1"/>
  <c r="J8" i="2"/>
  <c r="AB7" i="2"/>
  <c r="AA7" i="2"/>
  <c r="Y7" i="2"/>
  <c r="T7" i="2"/>
  <c r="L7" i="2"/>
  <c r="M7" i="2" s="1"/>
  <c r="J7" i="2"/>
  <c r="AA6" i="2"/>
  <c r="AB6" i="2" s="1"/>
  <c r="Y6" i="2"/>
  <c r="T6" i="2"/>
  <c r="L6" i="2"/>
  <c r="J6" i="2"/>
  <c r="J32" i="2" s="1"/>
  <c r="U5" i="2"/>
  <c r="U26" i="2" s="1"/>
  <c r="U29" i="2" s="1"/>
  <c r="T5" i="2"/>
  <c r="O5" i="2"/>
  <c r="J5" i="2"/>
  <c r="J31" i="2" s="1"/>
  <c r="Y2" i="2"/>
  <c r="T2" i="2"/>
  <c r="O2" i="2"/>
  <c r="F2" i="2"/>
  <c r="AA10" i="2" s="1"/>
  <c r="AB10" i="2" s="1"/>
  <c r="O8" i="2" l="1"/>
  <c r="N8" i="2"/>
  <c r="N17" i="2"/>
  <c r="O17" i="2"/>
  <c r="T24" i="2"/>
  <c r="N7" i="2"/>
  <c r="O7" i="2" s="1"/>
  <c r="O15" i="2"/>
  <c r="N22" i="2"/>
  <c r="O22" i="2" s="1"/>
  <c r="AA19" i="2"/>
  <c r="AB19" i="2" s="1"/>
  <c r="F26" i="2"/>
  <c r="F29" i="2" s="1"/>
  <c r="J26" i="2"/>
  <c r="J29" i="2" s="1"/>
  <c r="J2" i="2"/>
  <c r="V5" i="2"/>
  <c r="AA13" i="2"/>
  <c r="AB13" i="2" s="1"/>
  <c r="O14" i="2"/>
  <c r="N15" i="2"/>
  <c r="V15" i="2"/>
  <c r="Y15" i="2" s="1"/>
  <c r="M16" i="2"/>
  <c r="N16" i="2" s="1"/>
  <c r="Q16" i="2"/>
  <c r="Q26" i="2" s="1"/>
  <c r="Q29" i="2" s="1"/>
  <c r="T17" i="2"/>
  <c r="Q23" i="2"/>
  <c r="T23" i="2" s="1"/>
  <c r="Q25" i="2"/>
  <c r="V25" i="2"/>
  <c r="Y25" i="2" s="1"/>
  <c r="K26" i="2"/>
  <c r="K29" i="2" s="1"/>
  <c r="M6" i="2"/>
  <c r="N9" i="2"/>
  <c r="O9" i="2" s="1"/>
  <c r="V11" i="2"/>
  <c r="O13" i="2"/>
  <c r="O31" i="2" s="1"/>
  <c r="T14" i="2"/>
  <c r="W15" i="2"/>
  <c r="R16" i="2"/>
  <c r="R26" i="2" s="1"/>
  <c r="V16" i="2"/>
  <c r="Y16" i="2" s="1"/>
  <c r="Q17" i="2"/>
  <c r="Y17" i="2"/>
  <c r="O18" i="2"/>
  <c r="T22" i="2"/>
  <c r="R23" i="2"/>
  <c r="S24" i="2"/>
  <c r="S26" i="2" s="1"/>
  <c r="R25" i="2"/>
  <c r="W25" i="2"/>
  <c r="L26" i="2"/>
  <c r="L29" i="2" s="1"/>
  <c r="P26" i="2"/>
  <c r="P29" i="2" s="1"/>
  <c r="Y11" i="2"/>
  <c r="Y32" i="2" l="1"/>
  <c r="T26" i="2"/>
  <c r="W5" i="2"/>
  <c r="V26" i="2"/>
  <c r="V29" i="2" s="1"/>
  <c r="T16" i="2"/>
  <c r="M26" i="2"/>
  <c r="M29" i="2" s="1"/>
  <c r="N6" i="2"/>
  <c r="N26" i="2" s="1"/>
  <c r="O16" i="2"/>
  <c r="X5" i="2" l="1"/>
  <c r="W26" i="2"/>
  <c r="W29" i="2" s="1"/>
  <c r="AA5" i="2"/>
  <c r="O6" i="2"/>
  <c r="AB5" i="2" l="1"/>
  <c r="AA31" i="2"/>
  <c r="O26" i="2"/>
  <c r="X26" i="2"/>
  <c r="X29" i="2" s="1"/>
  <c r="Y5" i="2"/>
  <c r="Y26" i="2" l="1"/>
  <c r="Y29" i="2" s="1"/>
  <c r="Y31" i="2"/>
  <c r="AB31" i="2"/>
  <c r="AB29" i="2"/>
  <c r="AA28" i="2" l="1"/>
  <c r="D28" i="2" s="1"/>
  <c r="AB32" i="2"/>
  <c r="O28" i="2" l="1"/>
  <c r="D29" i="2"/>
  <c r="S28" i="2"/>
  <c r="AA32" i="2"/>
  <c r="AA29" i="2"/>
  <c r="S29" i="2" l="1"/>
  <c r="R28" i="2"/>
  <c r="N28" i="2"/>
  <c r="N29" i="2" s="1"/>
  <c r="O29" i="2"/>
  <c r="O32" i="2"/>
  <c r="T28" i="2" l="1"/>
  <c r="T29" i="2" s="1"/>
  <c r="R29" i="2"/>
</calcChain>
</file>

<file path=xl/sharedStrings.xml><?xml version="1.0" encoding="utf-8"?>
<sst xmlns="http://schemas.openxmlformats.org/spreadsheetml/2006/main" count="764" uniqueCount="149">
  <si>
    <t>FY2023 Q2 Quarterly Report</t>
  </si>
  <si>
    <t>HIGHLIGHTED FIELDS INDICATE CHANGES FROM October 16, 2022 SUBMISSION</t>
  </si>
  <si>
    <t> </t>
  </si>
  <si>
    <t>For benefits, FMAP rate by quarter:</t>
  </si>
  <si>
    <t>Actuals Expenditures from:</t>
  </si>
  <si>
    <t>April 2021 to December 31, 2022</t>
  </si>
  <si>
    <t>Actual cash spent.</t>
  </si>
  <si>
    <t>Projections</t>
  </si>
  <si>
    <t>Service Category</t>
  </si>
  <si>
    <t>Investment Area</t>
  </si>
  <si>
    <t>Project</t>
  </si>
  <si>
    <t>All Funds Allocations ($M)</t>
  </si>
  <si>
    <t>FY21 (April - June 2021)</t>
  </si>
  <si>
    <t>SFY 22</t>
  </si>
  <si>
    <t>Q1 FY23
(July - Sept 2022)</t>
  </si>
  <si>
    <t>Q2 FY23 (Oct - Dec 2022)</t>
  </si>
  <si>
    <t>Q3 FY23
(Jan - March 2023)</t>
  </si>
  <si>
    <t>Q4 FY23 (April - June 2023)</t>
  </si>
  <si>
    <t>SFY 23 (ACTUAL AND PROJECTED)</t>
  </si>
  <si>
    <t>ACTUAL Q1 FY24
(July - Sept 2023)</t>
  </si>
  <si>
    <t>Q2 FY24(Oct - Dec 2023)</t>
  </si>
  <si>
    <t>Q3 FY24
(Jan - March 2024)</t>
  </si>
  <si>
    <t>Q4 SFY 24
(April - June 2024)</t>
  </si>
  <si>
    <t>SFY 24</t>
  </si>
  <si>
    <t>Q1 FY25 (July - Sept 2024)</t>
  </si>
  <si>
    <t>Q2 FY25 (Oct - Dec 2024)</t>
  </si>
  <si>
    <t>Q3 FY25 (Jan - March 2025)</t>
  </si>
  <si>
    <t>Q4 FY25 (April- June 2025)</t>
  </si>
  <si>
    <t>SFY 25</t>
  </si>
  <si>
    <t>State Intention to Draw Down Match (Benefits, Admin, IAPD, or None)</t>
  </si>
  <si>
    <t>Federal Share</t>
  </si>
  <si>
    <t>State Share</t>
  </si>
  <si>
    <t>Adult BH</t>
  </si>
  <si>
    <t>Building Infrastructure to Expand Capacity</t>
  </si>
  <si>
    <t>Certified Community Behavioral Health (CCBHC) Network Expansion</t>
  </si>
  <si>
    <t>BENEFITS</t>
  </si>
  <si>
    <t>Children's BH</t>
  </si>
  <si>
    <t>Staffing &amp; Admin to Support Mobile Response</t>
  </si>
  <si>
    <t>ADMIN</t>
  </si>
  <si>
    <t>Mobile Response &amp; Stabilization Services</t>
  </si>
  <si>
    <t>Expanding the Home &amp; Community Based Service Array</t>
  </si>
  <si>
    <t>Expanding Care Coordination</t>
  </si>
  <si>
    <t>First Connections</t>
  </si>
  <si>
    <t>No Wrong Door Enhancement</t>
  </si>
  <si>
    <t>Strengthening the System with a Single Point of Access</t>
  </si>
  <si>
    <t>DD</t>
  </si>
  <si>
    <t>Transformation Grants</t>
  </si>
  <si>
    <t>Housing</t>
  </si>
  <si>
    <t>HCBS Services to Help Rhode Islanders Experiencing Homeless or Housing Insecurity</t>
  </si>
  <si>
    <t xml:space="preserve">LTSS  </t>
  </si>
  <si>
    <t>System Modernization to Improve Access, Choice, &amp; Navigation</t>
  </si>
  <si>
    <t>Implementation Assistance</t>
  </si>
  <si>
    <t>Person-Centered Options Counseling Network Expansion</t>
  </si>
  <si>
    <t>Updating Technology</t>
  </si>
  <si>
    <t>Expediate HCBS Access &amp; Optimize Workflow</t>
  </si>
  <si>
    <t>Oral Health</t>
  </si>
  <si>
    <t>Dental Care in Home Health Settings Pilot</t>
  </si>
  <si>
    <t>Workforce Development</t>
  </si>
  <si>
    <t>Increasing Access to HCBS</t>
  </si>
  <si>
    <t>Hiring &amp; Retention Incentives: Rate Increases with benefits match</t>
  </si>
  <si>
    <t>Hiring &amp; Retention Incentives: Provider payments via MMIS with admin match</t>
  </si>
  <si>
    <t>Technical Assistance for Workforce Program Implementation</t>
  </si>
  <si>
    <t>Workforce Training &amp; Other Items</t>
  </si>
  <si>
    <t>Advanced Certifications for Direct Care Workers</t>
  </si>
  <si>
    <t>Tuition Waiver Equity Initiative</t>
  </si>
  <si>
    <t>Career Awareness and Outreach</t>
  </si>
  <si>
    <t>Overall</t>
  </si>
  <si>
    <t>Contractual support to assist with financial management and reporting for RI's 9817 portfolio</t>
  </si>
  <si>
    <t>Total Phase I</t>
  </si>
  <si>
    <t>Phase II Funding</t>
  </si>
  <si>
    <t>Phase 2 Items as approved in CMS spending plan, amount (overall and by project) and federal match eligibility TBD based after implementation of above; however, this assumes admin match</t>
  </si>
  <si>
    <t>TOTAL, assuming Phase 2 gets ADMIN match</t>
  </si>
  <si>
    <t>ABOVE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</si>
  <si>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</si>
  <si>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</si>
  <si>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</si>
  <si>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</si>
  <si>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</si>
  <si>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</si>
  <si>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</si>
  <si>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</si>
  <si>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</si>
  <si>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</si>
  <si>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</si>
  <si>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</si>
  <si>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</si>
  <si>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</si>
  <si>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</si>
  <si>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</si>
  <si>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</si>
  <si>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</si>
  <si>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</si>
  <si>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>claimed amounts above, claimed on CMS 64 - June 2022</t>
  </si>
  <si>
    <t>total new state share to be reinvested.</t>
  </si>
  <si>
    <t>Note 1. This spending is included in the October-March spending above</t>
  </si>
  <si>
    <t>Q2 FY23 Quarterly Report</t>
  </si>
  <si>
    <t>April 2022 - June 2022</t>
  </si>
  <si>
    <t>July 2022 - September 2022</t>
  </si>
  <si>
    <t>October 2022 - December 2022</t>
  </si>
  <si>
    <t>January 2023 - March 2023</t>
  </si>
  <si>
    <t>HIGHLIGHTED FIELDS INDICATE CHANGES FROM JULY 18, 2022 SUBMISSION</t>
  </si>
  <si>
    <t>For October 18, 2022 Submission</t>
  </si>
  <si>
    <t>April 2021 to September 30, 2022</t>
  </si>
  <si>
    <t>Actual cash spent (row 9 is still an estimate)</t>
  </si>
  <si>
    <t>Q1 FY22 
(July - Sept 2021)</t>
  </si>
  <si>
    <t>Q2 FY22 (Oct - Dec 2021)</t>
  </si>
  <si>
    <t>Q3 FY22
(Jan - March 2022)</t>
  </si>
  <si>
    <t>Q4 FY22 (April - June 2022)</t>
  </si>
  <si>
    <t>Q1 FY23 
(July - Sept 2022)</t>
  </si>
  <si>
    <t>ACTUAL Q1 FY24 
(July - Sept 2023)</t>
  </si>
  <si>
    <t>Q4 SFY 24 
(April - June 2024)</t>
  </si>
  <si>
    <t>FY2023 Q1 Quarterly Report</t>
  </si>
  <si>
    <t>Pgs. in FY23 Q1 Narrative</t>
  </si>
  <si>
    <t>Q4 FY22 (April - June)</t>
  </si>
  <si>
    <t>SFY 23</t>
  </si>
  <si>
    <t>Q1 FY24 
(July - Sept 2023)</t>
  </si>
  <si>
    <t>12-13</t>
  </si>
  <si>
    <t>17-19</t>
  </si>
  <si>
    <t>29-30</t>
  </si>
  <si>
    <t>16, 37-38</t>
  </si>
  <si>
    <t>44-45</t>
  </si>
  <si>
    <t>48-49</t>
  </si>
  <si>
    <t>N/A</t>
  </si>
  <si>
    <t>Remaining Funding</t>
  </si>
  <si>
    <t>Assumption is Admin match</t>
  </si>
  <si>
    <t>FY2022 Q4 Quarterly Report</t>
  </si>
  <si>
    <t>ACTUALS/ENCUMBERED - Note Workforce #s are still estimates</t>
  </si>
  <si>
    <t>PROJECTIONS</t>
  </si>
  <si>
    <t>Pgs. in FY22 Q4 Narrative</t>
  </si>
  <si>
    <t>Q2 FY22 (Oct. - Dec).</t>
  </si>
  <si>
    <t>Q2 FY23 (Oct. - Dec).</t>
  </si>
  <si>
    <t>Q2 FY24(Oct. - Dec).</t>
  </si>
  <si>
    <t>SFY 24 
(July 2023-March 2024)</t>
  </si>
  <si>
    <t>13-14</t>
  </si>
  <si>
    <t>16-18</t>
  </si>
  <si>
    <t>Hiring &amp; Retention Incentives: Provider payments with admin match</t>
  </si>
  <si>
    <t>20-21</t>
  </si>
  <si>
    <t>15, 35-36</t>
  </si>
  <si>
    <t>36-38</t>
  </si>
  <si>
    <t>40-41</t>
  </si>
  <si>
    <t>41-43</t>
  </si>
  <si>
    <t>44-46</t>
  </si>
  <si>
    <t>RI HCBS EFMAP Spending Plan_last updated 03.30.2022</t>
  </si>
  <si>
    <t>Actuals</t>
  </si>
  <si>
    <t>Various</t>
  </si>
  <si>
    <t>Additional projects approved in CMS Spending Plan. Funding allocation (overall and by project) and federal match eligibility are to be determined after implementation of above prioritized projects.</t>
  </si>
  <si>
    <t>TBD</t>
  </si>
  <si>
    <t>For January 17, 2023 Submission</t>
  </si>
  <si>
    <t>FY2023 Q3 Quarterly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</si>
</sst>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</fills>
  <borders count="9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0" xfId="0" applyFont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9" fontId="0" fillId="3" borderId="0" xfId="0" applyNumberForma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7" fillId="3" borderId="0" xfId="2" applyNumberFormat="1" applyFont="1" applyFill="1" applyAlignment="1">
      <alignment horizontal="center"/>
    </xf>
    <xf numFmtId="0" fontId="4" fillId="5" borderId="0" xfId="0" applyFont="1" applyFill="1"/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7" borderId="5" xfId="0" applyNumberFormat="1" applyFont="1" applyFill="1" applyBorder="1" applyAlignment="1">
      <alignment horizontal="center" vertical="center"/>
    </xf>
    <xf numFmtId="2" fontId="8" fillId="8" borderId="6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0" fillId="8" borderId="8" xfId="0" applyNumberForma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8" fillId="7" borderId="1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8" fillId="7" borderId="13" xfId="0" applyNumberFormat="1" applyFont="1" applyFill="1" applyBorder="1" applyAlignment="1">
      <alignment horizontal="center" vertical="center"/>
    </xf>
    <xf numFmtId="2" fontId="0" fillId="8" borderId="7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8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2" fontId="9" fillId="7" borderId="13" xfId="0" applyNumberFormat="1" applyFont="1" applyFill="1" applyBorder="1" applyAlignment="1">
      <alignment horizontal="center" vertical="center"/>
    </xf>
    <xf numFmtId="2" fontId="8" fillId="8" borderId="21" xfId="0" applyNumberFormat="1" applyFont="1" applyFill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0" fillId="8" borderId="22" xfId="0" applyNumberFormat="1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164" fontId="9" fillId="7" borderId="13" xfId="0" applyNumberFormat="1" applyFont="1" applyFill="1" applyBorder="1" applyAlignment="1">
      <alignment horizontal="center" vertical="center"/>
    </xf>
    <xf numFmtId="164" fontId="8" fillId="8" borderId="21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2" fontId="8" fillId="7" borderId="13" xfId="0" applyNumberFormat="1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2" fontId="0" fillId="7" borderId="29" xfId="0" applyNumberFormat="1" applyFill="1" applyBorder="1" applyAlignment="1">
      <alignment horizontal="center" vertical="center"/>
    </xf>
    <xf numFmtId="2" fontId="0" fillId="7" borderId="30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2" fontId="0" fillId="2" borderId="0" xfId="0" applyNumberFormat="1" applyFill="1"/>
    <xf numFmtId="165" fontId="0" fillId="0" borderId="0" xfId="0" applyNumberFormat="1"/>
    <xf numFmtId="44" fontId="0" fillId="0" borderId="0" xfId="1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0" fillId="2" borderId="0" xfId="2" applyNumberFormat="1" applyFont="1" applyFill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8" borderId="36" xfId="0" applyNumberFormat="1" applyFill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8" borderId="38" xfId="0" applyNumberForma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8" borderId="9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8" borderId="40" xfId="0" applyNumberForma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8" borderId="47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0" fillId="8" borderId="51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" fontId="0" fillId="8" borderId="5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1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8" borderId="53" xfId="0" applyFill="1" applyBorder="1" applyAlignment="1">
      <alignment horizontal="center" vertical="center"/>
    </xf>
    <xf numFmtId="1" fontId="0" fillId="8" borderId="54" xfId="0" applyNumberFormat="1" applyFill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/>
    </xf>
    <xf numFmtId="1" fontId="0" fillId="8" borderId="57" xfId="0" applyNumberForma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vertical="center" wrapText="1"/>
    </xf>
    <xf numFmtId="0" fontId="8" fillId="0" borderId="60" xfId="0" applyFont="1" applyBorder="1" applyAlignment="1">
      <alignment horizontal="center" vertical="center" wrapText="1"/>
    </xf>
    <xf numFmtId="0" fontId="9" fillId="7" borderId="60" xfId="0" applyFont="1" applyFill="1" applyBorder="1" applyAlignment="1">
      <alignment horizontal="center" vertical="center"/>
    </xf>
    <xf numFmtId="0" fontId="8" fillId="8" borderId="61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1" fontId="0" fillId="8" borderId="66" xfId="0" applyNumberFormat="1" applyFill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2" fontId="0" fillId="0" borderId="68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vertical="center" wrapText="1"/>
    </xf>
    <xf numFmtId="0" fontId="8" fillId="0" borderId="70" xfId="0" applyFont="1" applyBorder="1" applyAlignment="1">
      <alignment horizontal="center" vertical="center" wrapText="1"/>
    </xf>
    <xf numFmtId="0" fontId="9" fillId="7" borderId="70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" fontId="0" fillId="0" borderId="71" xfId="0" applyNumberForma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8" borderId="76" xfId="0" applyNumberFormat="1" applyFill="1" applyBorder="1" applyAlignment="1">
      <alignment horizontal="center" vertical="center"/>
    </xf>
    <xf numFmtId="1" fontId="0" fillId="0" borderId="77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vertical="center" wrapText="1"/>
    </xf>
    <xf numFmtId="0" fontId="8" fillId="0" borderId="79" xfId="0" applyFont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8" borderId="81" xfId="0" applyFill="1" applyBorder="1" applyAlignment="1">
      <alignment horizontal="center" vertical="center"/>
    </xf>
    <xf numFmtId="1" fontId="0" fillId="0" borderId="65" xfId="0" applyNumberForma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" fontId="0" fillId="0" borderId="62" xfId="0" applyNumberFormat="1" applyBorder="1" applyAlignment="1">
      <alignment horizontal="center" vertical="center"/>
    </xf>
    <xf numFmtId="1" fontId="0" fillId="8" borderId="81" xfId="0" applyNumberFormat="1" applyFill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164" fontId="0" fillId="2" borderId="63" xfId="0" applyNumberFormat="1" applyFill="1" applyBorder="1" applyAlignment="1">
      <alignment horizontal="center" vertical="center"/>
    </xf>
    <xf numFmtId="2" fontId="0" fillId="2" borderId="80" xfId="0" applyNumberFormat="1" applyFill="1" applyBorder="1" applyAlignment="1">
      <alignment horizontal="center" vertical="center"/>
    </xf>
    <xf numFmtId="2" fontId="0" fillId="2" borderId="65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2" fontId="0" fillId="2" borderId="62" xfId="0" applyNumberForma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80" xfId="0" applyFont="1" applyBorder="1" applyAlignment="1">
      <alignment horizontal="center" vertical="center" wrapText="1"/>
    </xf>
    <xf numFmtId="164" fontId="9" fillId="7" borderId="79" xfId="0" applyNumberFormat="1" applyFont="1" applyFill="1" applyBorder="1" applyAlignment="1">
      <alignment horizontal="center" vertical="center"/>
    </xf>
    <xf numFmtId="164" fontId="8" fillId="8" borderId="61" xfId="0" applyNumberFormat="1" applyFont="1" applyFill="1" applyBorder="1" applyAlignment="1">
      <alignment horizontal="center" vertical="center"/>
    </xf>
    <xf numFmtId="164" fontId="8" fillId="0" borderId="62" xfId="0" applyNumberFormat="1" applyFont="1" applyBorder="1" applyAlignment="1">
      <alignment horizontal="center" vertical="center"/>
    </xf>
    <xf numFmtId="164" fontId="8" fillId="0" borderId="63" xfId="0" applyNumberFormat="1" applyFont="1" applyBorder="1" applyAlignment="1">
      <alignment horizontal="center" vertical="center"/>
    </xf>
    <xf numFmtId="164" fontId="8" fillId="0" borderId="65" xfId="0" applyNumberFormat="1" applyFon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164" fontId="0" fillId="8" borderId="81" xfId="0" applyNumberFormat="1" applyFill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64" fontId="0" fillId="8" borderId="60" xfId="0" applyNumberFormat="1" applyFill="1" applyBorder="1" applyAlignment="1">
      <alignment horizontal="center" vertical="center"/>
    </xf>
    <xf numFmtId="164" fontId="0" fillId="8" borderId="83" xfId="0" applyNumberFormat="1" applyFill="1" applyBorder="1" applyAlignment="1">
      <alignment horizontal="center" vertical="center"/>
    </xf>
    <xf numFmtId="164" fontId="8" fillId="7" borderId="60" xfId="0" applyNumberFormat="1" applyFont="1" applyFill="1" applyBorder="1" applyAlignment="1">
      <alignment horizontal="center" vertical="center"/>
    </xf>
    <xf numFmtId="2" fontId="8" fillId="7" borderId="60" xfId="0" applyNumberFormat="1" applyFont="1" applyFill="1" applyBorder="1" applyAlignment="1">
      <alignment horizontal="center" vertical="center"/>
    </xf>
    <xf numFmtId="0" fontId="0" fillId="7" borderId="78" xfId="0" applyFill="1" applyBorder="1" applyAlignment="1">
      <alignment horizontal="center" vertical="center"/>
    </xf>
    <xf numFmtId="2" fontId="0" fillId="7" borderId="6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4" fontId="0" fillId="8" borderId="53" xfId="0" applyNumberFormat="1" applyFill="1" applyBorder="1" applyAlignment="1">
      <alignment horizontal="center" vertical="center"/>
    </xf>
    <xf numFmtId="164" fontId="0" fillId="8" borderId="8" xfId="0" applyNumberForma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164" fontId="0" fillId="8" borderId="30" xfId="0" applyNumberFormat="1" applyFill="1" applyBorder="1" applyAlignment="1">
      <alignment horizontal="center" vertical="center"/>
    </xf>
    <xf numFmtId="164" fontId="0" fillId="8" borderId="25" xfId="0" applyNumberForma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/>
    </xf>
    <xf numFmtId="164" fontId="0" fillId="8" borderId="84" xfId="0" applyNumberFormat="1" applyFill="1" applyBorder="1" applyAlignment="1">
      <alignment horizontal="center" vertical="center"/>
    </xf>
    <xf numFmtId="164" fontId="0" fillId="8" borderId="64" xfId="0" applyNumberForma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79" xfId="0" applyFont="1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164" fontId="0" fillId="8" borderId="80" xfId="0" applyNumberForma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1" fontId="0" fillId="8" borderId="68" xfId="0" applyNumberFormat="1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8" borderId="72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2" fontId="0" fillId="0" borderId="7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88" xfId="0" applyFill="1" applyBorder="1" applyAlignment="1">
      <alignment horizontal="center" vertical="center"/>
    </xf>
    <xf numFmtId="0" fontId="0" fillId="8" borderId="78" xfId="0" applyFill="1" applyBorder="1" applyAlignment="1">
      <alignment horizontal="center" vertical="center"/>
    </xf>
    <xf numFmtId="0" fontId="0" fillId="0" borderId="62" xfId="0" applyBorder="1"/>
    <xf numFmtId="0" fontId="0" fillId="0" borderId="89" xfId="0" applyBorder="1" applyAlignment="1">
      <alignment horizontal="center" vertical="center"/>
    </xf>
    <xf numFmtId="0" fontId="0" fillId="0" borderId="86" xfId="0" applyBorder="1"/>
    <xf numFmtId="0" fontId="4" fillId="8" borderId="0" xfId="0" applyFont="1" applyFill="1"/>
    <xf numFmtId="0" fontId="0" fillId="8" borderId="0" xfId="0" applyFill="1"/>
    <xf numFmtId="0" fontId="2" fillId="6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14" fillId="14" borderId="2" xfId="0" applyFont="1" applyFill="1" applyBorder="1" applyAlignment="1">
      <alignment horizontal="center" wrapText="1"/>
    </xf>
    <xf numFmtId="0" fontId="11" fillId="0" borderId="0" xfId="0" applyFont="1"/>
    <xf numFmtId="0" fontId="6" fillId="0" borderId="0" xfId="0" applyFont="1"/>
    <xf numFmtId="0" fontId="12" fillId="10" borderId="0" xfId="0" applyFont="1" applyFill="1"/>
    <xf numFmtId="0" fontId="6" fillId="10" borderId="0" xfId="0" applyFont="1" applyFill="1"/>
    <xf numFmtId="10" fontId="6" fillId="11" borderId="0" xfId="0" applyNumberFormat="1" applyFont="1" applyFill="1"/>
    <xf numFmtId="10" fontId="13" fillId="11" borderId="0" xfId="0" applyNumberFormat="1" applyFont="1" applyFill="1"/>
    <xf numFmtId="0" fontId="14" fillId="14" borderId="0" xfId="0" applyFont="1" applyFill="1" applyAlignment="1">
      <alignment wrapText="1"/>
    </xf>
    <xf numFmtId="0" fontId="14" fillId="14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/>
    </xf>
    <xf numFmtId="0" fontId="11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2" fontId="15" fillId="11" borderId="5" xfId="0" applyNumberFormat="1" applyFont="1" applyFill="1" applyBorder="1"/>
    <xf numFmtId="2" fontId="15" fillId="15" borderId="6" xfId="0" applyNumberFormat="1" applyFont="1" applyFill="1" applyBorder="1"/>
    <xf numFmtId="2" fontId="6" fillId="15" borderId="5" xfId="0" applyNumberFormat="1" applyFont="1" applyFill="1" applyBorder="1"/>
    <xf numFmtId="2" fontId="15" fillId="0" borderId="6" xfId="0" applyNumberFormat="1" applyFont="1" applyBorder="1"/>
    <xf numFmtId="2" fontId="6" fillId="10" borderId="6" xfId="0" applyNumberFormat="1" applyFont="1" applyFill="1" applyBorder="1"/>
    <xf numFmtId="2" fontId="6" fillId="0" borderId="6" xfId="0" applyNumberFormat="1" applyFont="1" applyBorder="1"/>
    <xf numFmtId="2" fontId="6" fillId="15" borderId="9" xfId="0" applyNumberFormat="1" applyFont="1" applyFill="1" applyBorder="1"/>
    <xf numFmtId="2" fontId="6" fillId="0" borderId="3" xfId="0" applyNumberFormat="1" applyFont="1" applyBorder="1"/>
    <xf numFmtId="2" fontId="6" fillId="15" borderId="10" xfId="0" applyNumberFormat="1" applyFont="1" applyFill="1" applyBorder="1"/>
    <xf numFmtId="0" fontId="6" fillId="0" borderId="6" xfId="0" applyFont="1" applyBorder="1"/>
    <xf numFmtId="0" fontId="11" fillId="0" borderId="90" xfId="0" applyFont="1" applyBorder="1" applyAlignment="1">
      <alignment wrapText="1"/>
    </xf>
    <xf numFmtId="0" fontId="15" fillId="0" borderId="9" xfId="0" applyFont="1" applyBorder="1" applyAlignment="1">
      <alignment wrapText="1"/>
    </xf>
    <xf numFmtId="2" fontId="15" fillId="11" borderId="9" xfId="0" applyNumberFormat="1" applyFont="1" applyFill="1" applyBorder="1"/>
    <xf numFmtId="2" fontId="15" fillId="15" borderId="46" xfId="0" applyNumberFormat="1" applyFont="1" applyFill="1" applyBorder="1"/>
    <xf numFmtId="2" fontId="15" fillId="0" borderId="46" xfId="0" applyNumberFormat="1" applyFont="1" applyBorder="1"/>
    <xf numFmtId="2" fontId="15" fillId="10" borderId="46" xfId="0" applyNumberFormat="1" applyFont="1" applyFill="1" applyBorder="1"/>
    <xf numFmtId="2" fontId="6" fillId="10" borderId="46" xfId="0" applyNumberFormat="1" applyFont="1" applyFill="1" applyBorder="1"/>
    <xf numFmtId="2" fontId="6" fillId="0" borderId="46" xfId="0" applyNumberFormat="1" applyFont="1" applyBorder="1"/>
    <xf numFmtId="2" fontId="6" fillId="0" borderId="90" xfId="0" applyNumberFormat="1" applyFont="1" applyBorder="1"/>
    <xf numFmtId="2" fontId="6" fillId="15" borderId="91" xfId="0" applyNumberFormat="1" applyFont="1" applyFill="1" applyBorder="1"/>
    <xf numFmtId="0" fontId="6" fillId="0" borderId="46" xfId="0" applyFont="1" applyBorder="1"/>
    <xf numFmtId="0" fontId="15" fillId="0" borderId="90" xfId="0" applyFont="1" applyBorder="1" applyAlignment="1">
      <alignment wrapText="1"/>
    </xf>
    <xf numFmtId="2" fontId="6" fillId="15" borderId="46" xfId="0" applyNumberFormat="1" applyFont="1" applyFill="1" applyBorder="1"/>
    <xf numFmtId="2" fontId="6" fillId="0" borderId="35" xfId="0" applyNumberFormat="1" applyFont="1" applyBorder="1"/>
    <xf numFmtId="0" fontId="11" fillId="0" borderId="0" xfId="0" applyFont="1" applyAlignment="1">
      <alignment wrapText="1"/>
    </xf>
    <xf numFmtId="2" fontId="15" fillId="15" borderId="50" xfId="0" applyNumberFormat="1" applyFont="1" applyFill="1" applyBorder="1"/>
    <xf numFmtId="2" fontId="15" fillId="10" borderId="50" xfId="0" applyNumberFormat="1" applyFont="1" applyFill="1" applyBorder="1"/>
    <xf numFmtId="2" fontId="6" fillId="10" borderId="50" xfId="0" applyNumberFormat="1" applyFont="1" applyFill="1" applyBorder="1"/>
    <xf numFmtId="2" fontId="6" fillId="0" borderId="71" xfId="0" applyNumberFormat="1" applyFont="1" applyBorder="1"/>
    <xf numFmtId="2" fontId="6" fillId="0" borderId="50" xfId="0" applyNumberFormat="1" applyFont="1" applyBorder="1"/>
    <xf numFmtId="2" fontId="6" fillId="0" borderId="0" xfId="0" applyNumberFormat="1" applyFont="1"/>
    <xf numFmtId="0" fontId="6" fillId="0" borderId="50" xfId="0" applyFont="1" applyBorder="1"/>
    <xf numFmtId="0" fontId="11" fillId="0" borderId="13" xfId="0" applyFont="1" applyBorder="1"/>
    <xf numFmtId="0" fontId="6" fillId="0" borderId="88" xfId="0" applyFont="1" applyBorder="1"/>
    <xf numFmtId="0" fontId="15" fillId="0" borderId="13" xfId="0" applyFont="1" applyBorder="1" applyAlignment="1">
      <alignment wrapText="1"/>
    </xf>
    <xf numFmtId="2" fontId="15" fillId="15" borderId="24" xfId="0" applyNumberFormat="1" applyFont="1" applyFill="1" applyBorder="1"/>
    <xf numFmtId="2" fontId="8" fillId="2" borderId="22" xfId="0" applyNumberFormat="1" applyFont="1" applyFill="1" applyBorder="1" applyAlignment="1">
      <alignment horizontal="center" vertical="center"/>
    </xf>
    <xf numFmtId="2" fontId="6" fillId="0" borderId="24" xfId="0" applyNumberFormat="1" applyFont="1" applyBorder="1"/>
    <xf numFmtId="0" fontId="6" fillId="0" borderId="24" xfId="0" applyFont="1" applyBorder="1"/>
    <xf numFmtId="0" fontId="11" fillId="0" borderId="26" xfId="0" applyFont="1" applyBorder="1"/>
    <xf numFmtId="0" fontId="6" fillId="0" borderId="83" xfId="0" applyFont="1" applyBorder="1"/>
    <xf numFmtId="0" fontId="15" fillId="0" borderId="26" xfId="0" applyFont="1" applyBorder="1" applyAlignment="1">
      <alignment wrapText="1"/>
    </xf>
    <xf numFmtId="0" fontId="6" fillId="11" borderId="26" xfId="0" applyFont="1" applyFill="1" applyBorder="1"/>
    <xf numFmtId="0" fontId="15" fillId="15" borderId="24" xfId="0" applyFont="1" applyFill="1" applyBorder="1"/>
    <xf numFmtId="0" fontId="15" fillId="0" borderId="24" xfId="0" applyFont="1" applyBorder="1"/>
    <xf numFmtId="0" fontId="6" fillId="15" borderId="24" xfId="0" applyFont="1" applyFill="1" applyBorder="1"/>
    <xf numFmtId="2" fontId="6" fillId="11" borderId="26" xfId="0" applyNumberFormat="1" applyFont="1" applyFill="1" applyBorder="1"/>
    <xf numFmtId="2" fontId="15" fillId="0" borderId="24" xfId="0" applyNumberFormat="1" applyFont="1" applyBorder="1"/>
    <xf numFmtId="2" fontId="6" fillId="15" borderId="24" xfId="0" applyNumberFormat="1" applyFont="1" applyFill="1" applyBorder="1"/>
    <xf numFmtId="0" fontId="15" fillId="0" borderId="83" xfId="0" applyFont="1" applyBorder="1" applyAlignment="1">
      <alignment wrapText="1"/>
    </xf>
    <xf numFmtId="0" fontId="15" fillId="11" borderId="26" xfId="0" applyFont="1" applyFill="1" applyBorder="1"/>
    <xf numFmtId="0" fontId="15" fillId="11" borderId="79" xfId="0" applyFont="1" applyFill="1" applyBorder="1"/>
    <xf numFmtId="0" fontId="6" fillId="11" borderId="65" xfId="0" applyFont="1" applyFill="1" applyBorder="1"/>
    <xf numFmtId="0" fontId="6" fillId="0" borderId="0" xfId="0" applyFont="1" applyAlignment="1">
      <alignment wrapText="1"/>
    </xf>
    <xf numFmtId="2" fontId="6" fillId="2" borderId="46" xfId="0" applyNumberFormat="1" applyFont="1" applyFill="1" applyBorder="1"/>
    <xf numFmtId="2" fontId="6" fillId="0" borderId="70" xfId="0" applyNumberFormat="1" applyFont="1" applyBorder="1"/>
    <xf numFmtId="2" fontId="6" fillId="0" borderId="92" xfId="0" applyNumberFormat="1" applyFont="1" applyBorder="1"/>
    <xf numFmtId="0" fontId="12" fillId="12" borderId="1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75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0" borderId="20" xfId="0" applyBorder="1" applyAlignment="1">
      <alignment horizontal="center" vertical="top" wrapText="1"/>
    </xf>
    <xf numFmtId="0" fontId="0" fillId="0" borderId="79" xfId="0" applyBorder="1" applyAlignment="1">
      <alignment horizontal="center" vertical="top" wrapText="1"/>
    </xf>
    <xf numFmtId="0" fontId="11" fillId="2" borderId="0" xfId="0" applyFont="1" applyFill="1"/>
    <xf numFmtId="2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803D-7528-4EE0-97AD-C11C60CBC382}">
  <sheetPr>
    <tabColor rgb="FFFFFF00"/>
    <pageSetUpPr fitToPage="1"/>
  </sheetPr>
  <dimension ref="A1:Y37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38" sqref="L38"/>
    </sheetView>
  </sheetViews>
  <sheetFormatPr defaultColWidth="9.140625" defaultRowHeight="15" outlineLevelCol="1" x14ac:dyDescent="0.25"/>
  <cols>
    <col min="1" max="1" width="35.5703125" customWidth="1"/>
    <col min="2" max="2" width="59.85546875" customWidth="1"/>
    <col min="3" max="3" width="65.85546875" customWidth="1"/>
    <col min="4" max="4" width="14.28515625" customWidth="1"/>
    <col min="5" max="8" width="11.140625" customWidth="1" outlineLevel="1"/>
    <col min="9" max="9" width="11.140625" customWidth="1"/>
    <col min="10" max="13" width="11.140625" customWidth="1" outlineLevel="1"/>
    <col min="14" max="14" width="11.140625" customWidth="1"/>
    <col min="15" max="17" width="11.140625" customWidth="1" outlineLevel="1"/>
    <col min="18" max="21" width="11.140625" customWidth="1"/>
    <col min="22" max="22" width="30.7109375" customWidth="1"/>
    <col min="23" max="23" width="10.85546875" customWidth="1"/>
    <col min="24" max="24" width="12.140625" customWidth="1"/>
    <col min="25" max="25" width="21.7109375" hidden="1" customWidth="1"/>
  </cols>
  <sheetData>
    <row r="1" spans="1:25" x14ac:dyDescent="0.25">
      <c r="A1" s="389" t="s">
        <v>148</v>
      </c>
      <c r="B1" s="304"/>
      <c r="C1" s="305" t="s">
        <v>1</v>
      </c>
      <c r="D1" s="305" t="s">
        <v>2</v>
      </c>
      <c r="E1" s="306" t="s">
        <v>2</v>
      </c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</row>
    <row r="2" spans="1:25" s="5" customFormat="1" x14ac:dyDescent="0.25">
      <c r="A2" s="306" t="s">
        <v>147</v>
      </c>
      <c r="B2" s="304"/>
      <c r="C2" s="304" t="s">
        <v>3</v>
      </c>
      <c r="D2" s="304"/>
      <c r="E2" s="307">
        <f>+AVERAGE(F2:U2)</f>
        <v>0.55505000000000004</v>
      </c>
      <c r="F2" s="308">
        <v>0.60880000000000001</v>
      </c>
      <c r="G2" s="307">
        <v>0.61080000000000001</v>
      </c>
      <c r="H2" s="307">
        <v>0.61080000000000001</v>
      </c>
      <c r="I2" s="307">
        <v>0.53959999999999997</v>
      </c>
      <c r="J2" s="307">
        <v>0.53959999999999997</v>
      </c>
      <c r="K2" s="308">
        <v>0.57520000000000004</v>
      </c>
      <c r="L2" s="307">
        <v>0.53959999999999997</v>
      </c>
      <c r="M2" s="307">
        <v>0.53959999999999997</v>
      </c>
      <c r="N2" s="307">
        <v>0.53959999999999997</v>
      </c>
      <c r="O2" s="307">
        <v>0.53959999999999997</v>
      </c>
      <c r="P2" s="308">
        <v>0.53959999999999997</v>
      </c>
      <c r="Q2" s="307">
        <v>0.53959999999999997</v>
      </c>
      <c r="R2" s="307">
        <v>0.53959999999999997</v>
      </c>
      <c r="S2" s="307">
        <v>0.53959999999999997</v>
      </c>
      <c r="T2" s="307">
        <v>0.53959999999999997</v>
      </c>
      <c r="U2" s="308">
        <v>0.53959999999999997</v>
      </c>
      <c r="V2" s="304"/>
      <c r="W2" s="304"/>
      <c r="X2" s="304"/>
      <c r="Y2" s="304"/>
    </row>
    <row r="3" spans="1:25" x14ac:dyDescent="0.25">
      <c r="A3" s="306" t="s">
        <v>4</v>
      </c>
      <c r="B3" s="306" t="s">
        <v>5</v>
      </c>
      <c r="C3" s="304"/>
      <c r="D3" s="304"/>
      <c r="E3" s="372" t="s">
        <v>6</v>
      </c>
      <c r="F3" s="373"/>
      <c r="G3" s="373"/>
      <c r="H3" s="373"/>
      <c r="I3" s="374" t="s">
        <v>7</v>
      </c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04"/>
      <c r="W3" s="304"/>
      <c r="X3" s="304"/>
      <c r="Y3" s="304"/>
    </row>
    <row r="4" spans="1:25" ht="82.5" customHeight="1" x14ac:dyDescent="0.25">
      <c r="A4" s="309" t="s">
        <v>8</v>
      </c>
      <c r="B4" s="309" t="s">
        <v>9</v>
      </c>
      <c r="C4" s="309" t="s">
        <v>10</v>
      </c>
      <c r="D4" s="309" t="s">
        <v>11</v>
      </c>
      <c r="E4" s="310" t="s">
        <v>12</v>
      </c>
      <c r="F4" s="311" t="s">
        <v>13</v>
      </c>
      <c r="G4" s="310" t="s">
        <v>14</v>
      </c>
      <c r="H4" s="310" t="s">
        <v>15</v>
      </c>
      <c r="I4" s="310" t="s">
        <v>16</v>
      </c>
      <c r="J4" s="310" t="s">
        <v>17</v>
      </c>
      <c r="K4" s="310" t="s">
        <v>18</v>
      </c>
      <c r="L4" s="310" t="s">
        <v>19</v>
      </c>
      <c r="M4" s="310" t="s">
        <v>20</v>
      </c>
      <c r="N4" s="310" t="s">
        <v>21</v>
      </c>
      <c r="O4" s="310" t="s">
        <v>22</v>
      </c>
      <c r="P4" s="310" t="s">
        <v>23</v>
      </c>
      <c r="Q4" s="310" t="s">
        <v>24</v>
      </c>
      <c r="R4" s="310" t="s">
        <v>25</v>
      </c>
      <c r="S4" s="310" t="s">
        <v>26</v>
      </c>
      <c r="T4" s="310" t="s">
        <v>27</v>
      </c>
      <c r="U4" s="302" t="s">
        <v>28</v>
      </c>
      <c r="V4" s="310" t="s">
        <v>29</v>
      </c>
      <c r="W4" s="310" t="s">
        <v>30</v>
      </c>
      <c r="X4" s="310" t="s">
        <v>31</v>
      </c>
      <c r="Y4" s="310" t="s">
        <v>29</v>
      </c>
    </row>
    <row r="5" spans="1:25" x14ac:dyDescent="0.25">
      <c r="A5" s="312" t="s">
        <v>32</v>
      </c>
      <c r="B5" s="313" t="s">
        <v>33</v>
      </c>
      <c r="C5" s="314" t="s">
        <v>34</v>
      </c>
      <c r="D5" s="315">
        <v>1.6</v>
      </c>
      <c r="E5" s="316">
        <v>0</v>
      </c>
      <c r="F5" s="317">
        <v>0</v>
      </c>
      <c r="G5" s="318">
        <v>0</v>
      </c>
      <c r="H5" s="319">
        <v>0</v>
      </c>
      <c r="I5" s="320">
        <v>0</v>
      </c>
      <c r="J5" s="320">
        <v>0</v>
      </c>
      <c r="K5" s="317">
        <f>+SUM(G5:J5)</f>
        <v>0</v>
      </c>
      <c r="L5" s="320">
        <v>0</v>
      </c>
      <c r="M5" s="320">
        <v>0</v>
      </c>
      <c r="N5" s="320">
        <v>0</v>
      </c>
      <c r="O5" s="320">
        <v>0</v>
      </c>
      <c r="P5" s="321">
        <f>+SUM(L5:O5)</f>
        <v>0</v>
      </c>
      <c r="Q5" s="320">
        <f>160000/4/100000</f>
        <v>0.4</v>
      </c>
      <c r="R5" s="320">
        <f>+Q5</f>
        <v>0.4</v>
      </c>
      <c r="S5" s="320">
        <f>+R5</f>
        <v>0.4</v>
      </c>
      <c r="T5" s="322">
        <f>+S5</f>
        <v>0.4</v>
      </c>
      <c r="U5" s="323">
        <f>+SUM(Q5:T5)</f>
        <v>1.6</v>
      </c>
      <c r="V5" s="324" t="s">
        <v>35</v>
      </c>
      <c r="W5" s="320">
        <f>IF(Y5="BENEFITS",$D$2*D5+SUMPRODUCT($E$2:$H$2,E5:H5)+SUMPRODUCT($J$2:$M$2,J5:M5)+SUMPRODUCT($O$2:$R$2,O5:R5)+SUMPRODUCT($T$2:$V$2,T5:V5), IF(Y5="ADMIN",#REF!*0.5,"DETERMINE MATCH"))</f>
        <v>1.51088</v>
      </c>
      <c r="X5" s="23">
        <f>+D5-W5</f>
        <v>8.9120000000000088E-2</v>
      </c>
      <c r="Y5" s="324" t="s">
        <v>35</v>
      </c>
    </row>
    <row r="6" spans="1:25" x14ac:dyDescent="0.25">
      <c r="A6" s="325" t="s">
        <v>36</v>
      </c>
      <c r="B6" s="313" t="s">
        <v>33</v>
      </c>
      <c r="C6" s="326" t="s">
        <v>37</v>
      </c>
      <c r="D6" s="327">
        <v>1</v>
      </c>
      <c r="E6" s="328">
        <v>0</v>
      </c>
      <c r="F6" s="321">
        <v>0</v>
      </c>
      <c r="G6" s="329">
        <v>0</v>
      </c>
      <c r="H6" s="330">
        <f>28124.04/1000000</f>
        <v>2.8124039999999999E-2</v>
      </c>
      <c r="I6" s="331">
        <v>0.5</v>
      </c>
      <c r="J6" s="331">
        <v>0.5</v>
      </c>
      <c r="K6" s="317">
        <f t="shared" ref="K6:K25" si="0">+SUM(G6:J6)</f>
        <v>1.02812404</v>
      </c>
      <c r="L6" s="332">
        <v>0</v>
      </c>
      <c r="M6" s="332">
        <v>0</v>
      </c>
      <c r="N6" s="332">
        <v>0</v>
      </c>
      <c r="O6" s="332">
        <v>0</v>
      </c>
      <c r="P6" s="321">
        <f t="shared" ref="P6:P25" si="1">+SUM(L6:O6)</f>
        <v>0</v>
      </c>
      <c r="Q6" s="332">
        <v>0</v>
      </c>
      <c r="R6" s="332">
        <v>0</v>
      </c>
      <c r="S6" s="332">
        <v>0</v>
      </c>
      <c r="T6" s="333">
        <v>0</v>
      </c>
      <c r="U6" s="334">
        <f>+SUM(Q6:T6)</f>
        <v>0</v>
      </c>
      <c r="V6" s="335" t="s">
        <v>38</v>
      </c>
      <c r="W6" s="332">
        <v>0.5</v>
      </c>
      <c r="X6" s="23">
        <f>+D6-W6</f>
        <v>0.5</v>
      </c>
      <c r="Y6" s="335" t="s">
        <v>38</v>
      </c>
    </row>
    <row r="7" spans="1:25" x14ac:dyDescent="0.25">
      <c r="A7" s="325" t="s">
        <v>36</v>
      </c>
      <c r="B7" s="313" t="s">
        <v>33</v>
      </c>
      <c r="C7" s="326" t="s">
        <v>39</v>
      </c>
      <c r="D7" s="327">
        <v>5</v>
      </c>
      <c r="E7" s="328">
        <v>0</v>
      </c>
      <c r="F7" s="321">
        <v>0</v>
      </c>
      <c r="G7" s="329">
        <v>0</v>
      </c>
      <c r="H7" s="330">
        <v>0</v>
      </c>
      <c r="I7" s="331">
        <f>2500000/1000000</f>
        <v>2.5</v>
      </c>
      <c r="J7" s="331">
        <f t="shared" ref="J7:J10" si="2">+I7</f>
        <v>2.5</v>
      </c>
      <c r="K7" s="317">
        <f t="shared" si="0"/>
        <v>5</v>
      </c>
      <c r="L7" s="332">
        <v>0</v>
      </c>
      <c r="M7" s="332">
        <v>0</v>
      </c>
      <c r="N7" s="332">
        <v>0</v>
      </c>
      <c r="O7" s="332">
        <v>0</v>
      </c>
      <c r="P7" s="321">
        <f t="shared" si="1"/>
        <v>0</v>
      </c>
      <c r="Q7" s="332">
        <v>0</v>
      </c>
      <c r="R7" s="332">
        <v>0</v>
      </c>
      <c r="S7" s="332">
        <v>0</v>
      </c>
      <c r="T7" s="333">
        <v>0</v>
      </c>
      <c r="U7" s="334">
        <f t="shared" ref="U7:U25" si="3">+SUM(Q7:T7)</f>
        <v>0</v>
      </c>
      <c r="V7" s="335" t="s">
        <v>38</v>
      </c>
      <c r="W7" s="369">
        <f>+D7-X7</f>
        <v>1.5</v>
      </c>
      <c r="X7" s="369">
        <f>+D7*0.7</f>
        <v>3.5</v>
      </c>
      <c r="Y7" s="335" t="s">
        <v>38</v>
      </c>
    </row>
    <row r="8" spans="1:25" x14ac:dyDescent="0.25">
      <c r="A8" s="325" t="s">
        <v>36</v>
      </c>
      <c r="B8" s="313" t="s">
        <v>33</v>
      </c>
      <c r="C8" s="326" t="s">
        <v>40</v>
      </c>
      <c r="D8" s="327">
        <v>10.1</v>
      </c>
      <c r="E8" s="328">
        <v>0</v>
      </c>
      <c r="F8" s="321">
        <v>0</v>
      </c>
      <c r="G8" s="329">
        <v>0</v>
      </c>
      <c r="H8" s="330">
        <v>0</v>
      </c>
      <c r="I8" s="331">
        <f>10.1/2</f>
        <v>5.05</v>
      </c>
      <c r="J8" s="331">
        <f t="shared" si="2"/>
        <v>5.05</v>
      </c>
      <c r="K8" s="317">
        <f t="shared" si="0"/>
        <v>10.1</v>
      </c>
      <c r="L8" s="332">
        <v>0</v>
      </c>
      <c r="M8" s="332">
        <v>0</v>
      </c>
      <c r="N8" s="332">
        <v>0</v>
      </c>
      <c r="O8" s="332">
        <v>0</v>
      </c>
      <c r="P8" s="321">
        <f t="shared" si="1"/>
        <v>0</v>
      </c>
      <c r="Q8" s="332">
        <v>0</v>
      </c>
      <c r="R8" s="332">
        <v>0</v>
      </c>
      <c r="S8" s="332">
        <v>0</v>
      </c>
      <c r="T8" s="333">
        <v>0</v>
      </c>
      <c r="U8" s="334">
        <f t="shared" si="3"/>
        <v>0</v>
      </c>
      <c r="V8" s="335" t="s">
        <v>38</v>
      </c>
      <c r="W8" s="332">
        <v>5.05</v>
      </c>
      <c r="X8" s="332">
        <v>5.05</v>
      </c>
      <c r="Y8" s="335" t="s">
        <v>38</v>
      </c>
    </row>
    <row r="9" spans="1:25" x14ac:dyDescent="0.25">
      <c r="A9" s="325" t="s">
        <v>36</v>
      </c>
      <c r="B9" s="313" t="s">
        <v>33</v>
      </c>
      <c r="C9" s="326" t="s">
        <v>41</v>
      </c>
      <c r="D9" s="327">
        <v>1.5</v>
      </c>
      <c r="E9" s="328">
        <v>0</v>
      </c>
      <c r="F9" s="321">
        <v>0</v>
      </c>
      <c r="G9" s="329">
        <v>0</v>
      </c>
      <c r="H9" s="330">
        <v>0</v>
      </c>
      <c r="I9" s="331">
        <v>0.25</v>
      </c>
      <c r="J9" s="331">
        <v>0.25</v>
      </c>
      <c r="K9" s="317">
        <f t="shared" si="0"/>
        <v>0.5</v>
      </c>
      <c r="L9" s="332">
        <v>0</v>
      </c>
      <c r="M9" s="332">
        <v>0</v>
      </c>
      <c r="N9" s="332">
        <v>0</v>
      </c>
      <c r="O9" s="332">
        <v>0</v>
      </c>
      <c r="P9" s="321">
        <f t="shared" si="1"/>
        <v>0</v>
      </c>
      <c r="Q9" s="332">
        <v>0</v>
      </c>
      <c r="R9" s="332">
        <v>0</v>
      </c>
      <c r="S9" s="332">
        <v>0</v>
      </c>
      <c r="T9" s="333">
        <v>0</v>
      </c>
      <c r="U9" s="334">
        <f t="shared" si="3"/>
        <v>0</v>
      </c>
      <c r="V9" s="335" t="s">
        <v>38</v>
      </c>
      <c r="W9" s="332">
        <v>0.75</v>
      </c>
      <c r="X9" s="332">
        <v>0.75</v>
      </c>
      <c r="Y9" s="335" t="s">
        <v>38</v>
      </c>
    </row>
    <row r="10" spans="1:25" x14ac:dyDescent="0.25">
      <c r="A10" s="325" t="s">
        <v>36</v>
      </c>
      <c r="B10" s="313" t="s">
        <v>33</v>
      </c>
      <c r="C10" s="326" t="s">
        <v>42</v>
      </c>
      <c r="D10" s="327">
        <v>1.5</v>
      </c>
      <c r="E10" s="328">
        <v>0</v>
      </c>
      <c r="F10" s="321">
        <v>0</v>
      </c>
      <c r="G10" s="329">
        <v>0</v>
      </c>
      <c r="H10" s="330">
        <f>81586.9/1000000</f>
        <v>8.158689999999999E-2</v>
      </c>
      <c r="I10" s="331">
        <v>0.75</v>
      </c>
      <c r="J10" s="331">
        <f t="shared" si="2"/>
        <v>0.75</v>
      </c>
      <c r="K10" s="317">
        <f t="shared" si="0"/>
        <v>1.5815869</v>
      </c>
      <c r="L10" s="332">
        <v>0</v>
      </c>
      <c r="M10" s="332">
        <v>0</v>
      </c>
      <c r="N10" s="332">
        <v>0</v>
      </c>
      <c r="O10" s="332">
        <v>0</v>
      </c>
      <c r="P10" s="321">
        <f t="shared" si="1"/>
        <v>0</v>
      </c>
      <c r="Q10" s="332">
        <v>0</v>
      </c>
      <c r="R10" s="332">
        <v>0</v>
      </c>
      <c r="S10" s="332">
        <v>0</v>
      </c>
      <c r="T10" s="333">
        <v>0</v>
      </c>
      <c r="U10" s="334">
        <f t="shared" si="3"/>
        <v>0</v>
      </c>
      <c r="V10" s="335" t="s">
        <v>35</v>
      </c>
      <c r="W10" s="332">
        <v>0.81</v>
      </c>
      <c r="X10" s="332">
        <v>0.69</v>
      </c>
      <c r="Y10" s="335" t="s">
        <v>35</v>
      </c>
    </row>
    <row r="11" spans="1:25" x14ac:dyDescent="0.25">
      <c r="A11" s="325" t="s">
        <v>36</v>
      </c>
      <c r="B11" s="313" t="s">
        <v>43</v>
      </c>
      <c r="C11" s="326" t="s">
        <v>44</v>
      </c>
      <c r="D11" s="327">
        <v>0.25</v>
      </c>
      <c r="E11" s="328">
        <v>0</v>
      </c>
      <c r="F11" s="321">
        <v>0</v>
      </c>
      <c r="G11" s="329">
        <v>0</v>
      </c>
      <c r="H11" s="330">
        <v>0</v>
      </c>
      <c r="I11" s="331">
        <v>0.125</v>
      </c>
      <c r="J11" s="331">
        <v>0.125</v>
      </c>
      <c r="K11" s="317">
        <f t="shared" si="0"/>
        <v>0.25</v>
      </c>
      <c r="L11" s="332">
        <v>0</v>
      </c>
      <c r="M11" s="332">
        <v>0</v>
      </c>
      <c r="N11" s="332">
        <v>0</v>
      </c>
      <c r="O11" s="332">
        <v>0</v>
      </c>
      <c r="P11" s="321">
        <f t="shared" si="1"/>
        <v>0</v>
      </c>
      <c r="Q11" s="332">
        <f>250000/4/1000000</f>
        <v>6.25E-2</v>
      </c>
      <c r="R11" s="332">
        <f>+Q11</f>
        <v>6.25E-2</v>
      </c>
      <c r="S11" s="332">
        <f>+Q11</f>
        <v>6.25E-2</v>
      </c>
      <c r="T11" s="333">
        <f>+Q11</f>
        <v>6.25E-2</v>
      </c>
      <c r="U11" s="334">
        <f t="shared" si="3"/>
        <v>0.25</v>
      </c>
      <c r="V11" s="335" t="s">
        <v>38</v>
      </c>
      <c r="W11" s="332">
        <v>0.13</v>
      </c>
      <c r="X11" s="332">
        <v>0.13</v>
      </c>
      <c r="Y11" s="335" t="s">
        <v>38</v>
      </c>
    </row>
    <row r="12" spans="1:25" x14ac:dyDescent="0.25">
      <c r="A12" s="325" t="s">
        <v>45</v>
      </c>
      <c r="B12" s="313" t="s">
        <v>33</v>
      </c>
      <c r="C12" s="326" t="s">
        <v>46</v>
      </c>
      <c r="D12" s="327">
        <v>4</v>
      </c>
      <c r="E12" s="328">
        <v>0</v>
      </c>
      <c r="F12" s="321">
        <v>3.9999989999999999</v>
      </c>
      <c r="G12" s="329">
        <v>0</v>
      </c>
      <c r="H12" s="329">
        <v>0</v>
      </c>
      <c r="I12" s="332">
        <v>0</v>
      </c>
      <c r="J12" s="332">
        <v>0</v>
      </c>
      <c r="K12" s="317">
        <f t="shared" si="0"/>
        <v>0</v>
      </c>
      <c r="L12" s="332">
        <v>0</v>
      </c>
      <c r="M12" s="332">
        <v>0</v>
      </c>
      <c r="N12" s="332">
        <v>0</v>
      </c>
      <c r="O12" s="332">
        <v>0</v>
      </c>
      <c r="P12" s="321">
        <f t="shared" si="1"/>
        <v>0</v>
      </c>
      <c r="Q12" s="332">
        <v>0</v>
      </c>
      <c r="R12" s="332">
        <v>0</v>
      </c>
      <c r="S12" s="332">
        <v>0</v>
      </c>
      <c r="T12" s="333">
        <v>0</v>
      </c>
      <c r="U12" s="334">
        <f t="shared" si="3"/>
        <v>0</v>
      </c>
      <c r="V12" s="335" t="s">
        <v>38</v>
      </c>
      <c r="W12" s="332">
        <v>2</v>
      </c>
      <c r="X12" s="332">
        <v>2</v>
      </c>
      <c r="Y12" s="335" t="s">
        <v>38</v>
      </c>
    </row>
    <row r="13" spans="1:25" ht="30" x14ac:dyDescent="0.25">
      <c r="A13" s="325" t="s">
        <v>47</v>
      </c>
      <c r="B13" s="313" t="s">
        <v>33</v>
      </c>
      <c r="C13" s="326" t="s">
        <v>48</v>
      </c>
      <c r="D13" s="327">
        <v>5</v>
      </c>
      <c r="E13" s="328">
        <v>0</v>
      </c>
      <c r="F13" s="321">
        <v>0</v>
      </c>
      <c r="G13" s="329">
        <v>0</v>
      </c>
      <c r="H13" s="330">
        <f>83292.61/1000000</f>
        <v>8.3292610000000003E-2</v>
      </c>
      <c r="I13" s="331">
        <v>0.65</v>
      </c>
      <c r="J13" s="331">
        <v>0.65</v>
      </c>
      <c r="K13" s="317">
        <f t="shared" si="0"/>
        <v>1.38329261</v>
      </c>
      <c r="L13" s="332">
        <f>3598392/4/1000000</f>
        <v>0.89959800000000001</v>
      </c>
      <c r="M13" s="332">
        <f t="shared" ref="M13:M18" si="4">+L13</f>
        <v>0.89959800000000001</v>
      </c>
      <c r="N13" s="332">
        <f t="shared" ref="N13:N18" si="5">+L13</f>
        <v>0.89959800000000001</v>
      </c>
      <c r="O13" s="332">
        <f t="shared" ref="O13:O18" si="6">+L13</f>
        <v>0.89959800000000001</v>
      </c>
      <c r="P13" s="321">
        <f t="shared" si="1"/>
        <v>3.598392</v>
      </c>
      <c r="Q13" s="332">
        <v>0</v>
      </c>
      <c r="R13" s="332">
        <v>0</v>
      </c>
      <c r="S13" s="332">
        <v>0</v>
      </c>
      <c r="T13" s="333">
        <v>0</v>
      </c>
      <c r="U13" s="334">
        <f t="shared" si="3"/>
        <v>0</v>
      </c>
      <c r="V13" s="335" t="s">
        <v>35</v>
      </c>
      <c r="W13" s="332">
        <v>2.64</v>
      </c>
      <c r="X13" s="332">
        <v>2.36</v>
      </c>
      <c r="Y13" s="335" t="s">
        <v>35</v>
      </c>
    </row>
    <row r="14" spans="1:25" x14ac:dyDescent="0.25">
      <c r="A14" s="325" t="s">
        <v>49</v>
      </c>
      <c r="B14" s="313" t="s">
        <v>43</v>
      </c>
      <c r="C14" s="326" t="s">
        <v>50</v>
      </c>
      <c r="D14" s="327">
        <v>4.7</v>
      </c>
      <c r="E14" s="328">
        <v>0</v>
      </c>
      <c r="F14" s="321">
        <v>0.15652851999999998</v>
      </c>
      <c r="G14" s="330">
        <f>937707/1000000</f>
        <v>0.93770699999999996</v>
      </c>
      <c r="H14" s="330">
        <f>69681.8/1000000</f>
        <v>6.9681800000000002E-2</v>
      </c>
      <c r="I14" s="331">
        <f>+(1.5-G14-H14)/2</f>
        <v>0.24630560000000001</v>
      </c>
      <c r="J14" s="331">
        <f t="shared" ref="J14:J18" si="7">+I14</f>
        <v>0.24630560000000001</v>
      </c>
      <c r="K14" s="317">
        <f t="shared" si="0"/>
        <v>1.5</v>
      </c>
      <c r="L14" s="332">
        <f>2500000/4/1000000</f>
        <v>0.625</v>
      </c>
      <c r="M14" s="332">
        <f t="shared" si="4"/>
        <v>0.625</v>
      </c>
      <c r="N14" s="332">
        <f t="shared" si="5"/>
        <v>0.625</v>
      </c>
      <c r="O14" s="332">
        <f t="shared" si="6"/>
        <v>0.625</v>
      </c>
      <c r="P14" s="321">
        <f t="shared" si="1"/>
        <v>2.5</v>
      </c>
      <c r="Q14" s="332">
        <f>700000/4/1000000</f>
        <v>0.17499999999999999</v>
      </c>
      <c r="R14" s="332">
        <f>+Q14</f>
        <v>0.17499999999999999</v>
      </c>
      <c r="S14" s="332">
        <f>+Q14</f>
        <v>0.17499999999999999</v>
      </c>
      <c r="T14" s="333">
        <f>+Q14</f>
        <v>0.17499999999999999</v>
      </c>
      <c r="U14" s="334">
        <f t="shared" si="3"/>
        <v>0.7</v>
      </c>
      <c r="V14" s="335" t="s">
        <v>38</v>
      </c>
      <c r="W14" s="369">
        <f>+D14*0.9</f>
        <v>4.2300000000000004</v>
      </c>
      <c r="X14" s="369">
        <v>2.35</v>
      </c>
      <c r="Y14" s="335" t="s">
        <v>38</v>
      </c>
    </row>
    <row r="15" spans="1:25" x14ac:dyDescent="0.25">
      <c r="A15" s="325" t="s">
        <v>49</v>
      </c>
      <c r="B15" s="313" t="s">
        <v>43</v>
      </c>
      <c r="C15" s="326" t="s">
        <v>51</v>
      </c>
      <c r="D15" s="327">
        <v>0.6</v>
      </c>
      <c r="E15" s="328">
        <v>0</v>
      </c>
      <c r="F15" s="321">
        <v>0</v>
      </c>
      <c r="G15" s="329">
        <v>0</v>
      </c>
      <c r="H15" s="330">
        <v>0</v>
      </c>
      <c r="I15" s="331">
        <v>0.15</v>
      </c>
      <c r="J15" s="331">
        <f t="shared" si="7"/>
        <v>0.15</v>
      </c>
      <c r="K15" s="317">
        <f t="shared" si="0"/>
        <v>0.3</v>
      </c>
      <c r="L15" s="332">
        <f>62500/4/1000000</f>
        <v>1.5625E-2</v>
      </c>
      <c r="M15" s="332">
        <f t="shared" si="4"/>
        <v>1.5625E-2</v>
      </c>
      <c r="N15" s="332">
        <f t="shared" si="5"/>
        <v>1.5625E-2</v>
      </c>
      <c r="O15" s="332">
        <f t="shared" si="6"/>
        <v>1.5625E-2</v>
      </c>
      <c r="P15" s="321">
        <f t="shared" si="1"/>
        <v>6.25E-2</v>
      </c>
      <c r="Q15" s="332">
        <f>175000/4/1000000</f>
        <v>4.3749999999999997E-2</v>
      </c>
      <c r="R15" s="332">
        <f>+Q15</f>
        <v>4.3749999999999997E-2</v>
      </c>
      <c r="S15" s="332">
        <f>+Q15</f>
        <v>4.3749999999999997E-2</v>
      </c>
      <c r="T15" s="333">
        <f>+Q15</f>
        <v>4.3749999999999997E-2</v>
      </c>
      <c r="U15" s="334">
        <f t="shared" si="3"/>
        <v>0.17499999999999999</v>
      </c>
      <c r="V15" s="335" t="s">
        <v>38</v>
      </c>
      <c r="W15" s="369">
        <f t="shared" ref="W15:W17" si="8">+D15*0.9</f>
        <v>0.54</v>
      </c>
      <c r="X15" s="369">
        <v>0.3</v>
      </c>
      <c r="Y15" s="335" t="s">
        <v>38</v>
      </c>
    </row>
    <row r="16" spans="1:25" x14ac:dyDescent="0.25">
      <c r="A16" s="325" t="s">
        <v>49</v>
      </c>
      <c r="B16" s="313" t="s">
        <v>43</v>
      </c>
      <c r="C16" s="326" t="s">
        <v>52</v>
      </c>
      <c r="D16" s="327">
        <v>0.5</v>
      </c>
      <c r="E16" s="328">
        <v>0</v>
      </c>
      <c r="F16" s="321">
        <v>0</v>
      </c>
      <c r="G16" s="329">
        <v>0</v>
      </c>
      <c r="H16" s="330">
        <v>0</v>
      </c>
      <c r="I16" s="331">
        <v>0.1</v>
      </c>
      <c r="J16" s="331">
        <f t="shared" si="7"/>
        <v>0.1</v>
      </c>
      <c r="K16" s="317">
        <f t="shared" si="0"/>
        <v>0.2</v>
      </c>
      <c r="L16" s="332">
        <f>200000/4/1000000</f>
        <v>0.05</v>
      </c>
      <c r="M16" s="332">
        <f t="shared" si="4"/>
        <v>0.05</v>
      </c>
      <c r="N16" s="332">
        <f t="shared" si="5"/>
        <v>0.05</v>
      </c>
      <c r="O16" s="332">
        <f t="shared" si="6"/>
        <v>0.05</v>
      </c>
      <c r="P16" s="321">
        <f t="shared" si="1"/>
        <v>0.2</v>
      </c>
      <c r="Q16" s="332">
        <f>78000/4/1000000</f>
        <v>1.95E-2</v>
      </c>
      <c r="R16" s="332">
        <f>+Q16</f>
        <v>1.95E-2</v>
      </c>
      <c r="S16" s="332">
        <f>+Q16</f>
        <v>1.95E-2</v>
      </c>
      <c r="T16" s="333">
        <f>+Q16</f>
        <v>1.95E-2</v>
      </c>
      <c r="U16" s="334">
        <f t="shared" si="3"/>
        <v>7.8E-2</v>
      </c>
      <c r="V16" s="335" t="s">
        <v>38</v>
      </c>
      <c r="W16" s="369">
        <f t="shared" si="8"/>
        <v>0.45</v>
      </c>
      <c r="X16" s="369">
        <v>0.25</v>
      </c>
      <c r="Y16" s="335" t="s">
        <v>38</v>
      </c>
    </row>
    <row r="17" spans="1:25" x14ac:dyDescent="0.25">
      <c r="A17" s="325" t="s">
        <v>49</v>
      </c>
      <c r="B17" s="313" t="s">
        <v>53</v>
      </c>
      <c r="C17" s="326" t="s">
        <v>54</v>
      </c>
      <c r="D17" s="327">
        <v>1.6</v>
      </c>
      <c r="E17" s="328">
        <v>0</v>
      </c>
      <c r="F17" s="321">
        <v>0</v>
      </c>
      <c r="G17" s="329">
        <v>0</v>
      </c>
      <c r="H17" s="330">
        <v>0</v>
      </c>
      <c r="I17" s="331">
        <v>0.55000000000000004</v>
      </c>
      <c r="J17" s="331">
        <v>0.55000000000000004</v>
      </c>
      <c r="K17" s="317">
        <f t="shared" si="0"/>
        <v>1.1000000000000001</v>
      </c>
      <c r="L17" s="332">
        <f>400000/4/1000000</f>
        <v>0.1</v>
      </c>
      <c r="M17" s="332">
        <f t="shared" si="4"/>
        <v>0.1</v>
      </c>
      <c r="N17" s="332">
        <f t="shared" si="5"/>
        <v>0.1</v>
      </c>
      <c r="O17" s="332">
        <f t="shared" si="6"/>
        <v>0.1</v>
      </c>
      <c r="P17" s="321">
        <f t="shared" si="1"/>
        <v>0.4</v>
      </c>
      <c r="Q17" s="332">
        <f>100000/4/1000000</f>
        <v>2.5000000000000001E-2</v>
      </c>
      <c r="R17" s="332">
        <f>+Q17</f>
        <v>2.5000000000000001E-2</v>
      </c>
      <c r="S17" s="332">
        <f>+Q17</f>
        <v>2.5000000000000001E-2</v>
      </c>
      <c r="T17" s="333">
        <f>+Q17</f>
        <v>2.5000000000000001E-2</v>
      </c>
      <c r="U17" s="334">
        <f t="shared" si="3"/>
        <v>0.1</v>
      </c>
      <c r="V17" s="335" t="s">
        <v>38</v>
      </c>
      <c r="W17" s="369">
        <f t="shared" si="8"/>
        <v>1.4400000000000002</v>
      </c>
      <c r="X17" s="369">
        <v>0.8</v>
      </c>
      <c r="Y17" s="335" t="s">
        <v>38</v>
      </c>
    </row>
    <row r="18" spans="1:25" x14ac:dyDescent="0.25">
      <c r="A18" s="325" t="s">
        <v>55</v>
      </c>
      <c r="B18" s="313" t="s">
        <v>33</v>
      </c>
      <c r="C18" s="326" t="s">
        <v>56</v>
      </c>
      <c r="D18" s="327">
        <v>0.9</v>
      </c>
      <c r="E18" s="328">
        <v>0</v>
      </c>
      <c r="F18" s="321">
        <v>0</v>
      </c>
      <c r="G18" s="329">
        <f>32337.48/1000000</f>
        <v>3.2337480000000002E-2</v>
      </c>
      <c r="H18" s="330">
        <f>52164.84/1000000</f>
        <v>5.2164839999999997E-2</v>
      </c>
      <c r="I18" s="331">
        <f>+(0.27-H18)/2</f>
        <v>0.10891758000000001</v>
      </c>
      <c r="J18" s="331">
        <f t="shared" si="7"/>
        <v>0.10891758000000001</v>
      </c>
      <c r="K18" s="317">
        <f t="shared" si="0"/>
        <v>0.30233748000000005</v>
      </c>
      <c r="L18" s="332">
        <f>433742/4/1000000</f>
        <v>0.1084355</v>
      </c>
      <c r="M18" s="332">
        <f t="shared" si="4"/>
        <v>0.1084355</v>
      </c>
      <c r="N18" s="332">
        <f t="shared" si="5"/>
        <v>0.1084355</v>
      </c>
      <c r="O18" s="332">
        <f t="shared" si="6"/>
        <v>0.1084355</v>
      </c>
      <c r="P18" s="321">
        <f t="shared" si="1"/>
        <v>0.43374200000000002</v>
      </c>
      <c r="Q18" s="332">
        <v>0</v>
      </c>
      <c r="R18" s="332">
        <v>0</v>
      </c>
      <c r="S18" s="332">
        <v>0</v>
      </c>
      <c r="T18" s="333">
        <v>0</v>
      </c>
      <c r="U18" s="334">
        <f t="shared" si="3"/>
        <v>0</v>
      </c>
      <c r="V18" s="335" t="s">
        <v>38</v>
      </c>
      <c r="W18" s="332">
        <v>0.45</v>
      </c>
      <c r="X18" s="332">
        <v>0.45</v>
      </c>
      <c r="Y18" s="335" t="s">
        <v>38</v>
      </c>
    </row>
    <row r="19" spans="1:25" x14ac:dyDescent="0.25">
      <c r="A19" s="325" t="s">
        <v>57</v>
      </c>
      <c r="B19" s="313" t="s">
        <v>58</v>
      </c>
      <c r="C19" s="326" t="s">
        <v>59</v>
      </c>
      <c r="D19" s="327">
        <v>58.1</v>
      </c>
      <c r="E19" s="328">
        <v>0</v>
      </c>
      <c r="F19" s="321">
        <v>50.981635490000002</v>
      </c>
      <c r="G19" s="329">
        <v>0</v>
      </c>
      <c r="H19" s="332">
        <v>0</v>
      </c>
      <c r="I19" s="332">
        <v>0</v>
      </c>
      <c r="J19" s="332">
        <v>0</v>
      </c>
      <c r="K19" s="317">
        <f t="shared" si="0"/>
        <v>0</v>
      </c>
      <c r="L19" s="332">
        <v>0</v>
      </c>
      <c r="M19" s="332">
        <v>0</v>
      </c>
      <c r="N19" s="332">
        <v>0</v>
      </c>
      <c r="O19" s="332">
        <v>0</v>
      </c>
      <c r="P19" s="321">
        <f t="shared" si="1"/>
        <v>0</v>
      </c>
      <c r="Q19" s="332">
        <v>0</v>
      </c>
      <c r="R19" s="332">
        <v>0</v>
      </c>
      <c r="S19" s="332">
        <v>0</v>
      </c>
      <c r="T19" s="333">
        <v>0</v>
      </c>
      <c r="U19" s="334">
        <f t="shared" si="3"/>
        <v>0</v>
      </c>
      <c r="V19" s="335" t="s">
        <v>35</v>
      </c>
      <c r="W19" s="332">
        <v>31.14</v>
      </c>
      <c r="X19" s="332">
        <v>26.96</v>
      </c>
      <c r="Y19" s="335" t="s">
        <v>35</v>
      </c>
    </row>
    <row r="20" spans="1:25" ht="30" x14ac:dyDescent="0.25">
      <c r="A20" s="325" t="s">
        <v>57</v>
      </c>
      <c r="B20" s="313" t="s">
        <v>58</v>
      </c>
      <c r="C20" s="326" t="s">
        <v>60</v>
      </c>
      <c r="D20" s="327">
        <v>5.9</v>
      </c>
      <c r="E20" s="328">
        <v>0</v>
      </c>
      <c r="F20" s="321">
        <v>5.88517256</v>
      </c>
      <c r="G20" s="329">
        <v>0</v>
      </c>
      <c r="H20" s="332">
        <v>0</v>
      </c>
      <c r="I20" s="332">
        <v>0</v>
      </c>
      <c r="J20" s="332">
        <v>0</v>
      </c>
      <c r="K20" s="317">
        <f t="shared" si="0"/>
        <v>0</v>
      </c>
      <c r="L20" s="332">
        <v>0</v>
      </c>
      <c r="M20" s="332">
        <v>0</v>
      </c>
      <c r="N20" s="332">
        <v>0</v>
      </c>
      <c r="O20" s="332">
        <v>0</v>
      </c>
      <c r="P20" s="321">
        <f t="shared" si="1"/>
        <v>0</v>
      </c>
      <c r="Q20" s="332">
        <v>0</v>
      </c>
      <c r="R20" s="332">
        <v>0</v>
      </c>
      <c r="S20" s="332">
        <v>0</v>
      </c>
      <c r="T20" s="333">
        <v>0</v>
      </c>
      <c r="U20" s="334">
        <f t="shared" si="3"/>
        <v>0</v>
      </c>
      <c r="V20" s="335" t="s">
        <v>38</v>
      </c>
      <c r="W20" s="332">
        <v>2.95</v>
      </c>
      <c r="X20" s="332">
        <v>2.95</v>
      </c>
      <c r="Y20" s="335" t="s">
        <v>38</v>
      </c>
    </row>
    <row r="21" spans="1:25" x14ac:dyDescent="0.25">
      <c r="A21" s="325" t="s">
        <v>57</v>
      </c>
      <c r="B21" s="313" t="s">
        <v>58</v>
      </c>
      <c r="C21" s="326" t="s">
        <v>61</v>
      </c>
      <c r="D21" s="327">
        <v>1.202</v>
      </c>
      <c r="E21" s="328">
        <v>0</v>
      </c>
      <c r="F21" s="321">
        <v>0.95440164999999999</v>
      </c>
      <c r="G21" s="329">
        <v>0</v>
      </c>
      <c r="H21" s="331">
        <f>90926.9/1000000</f>
        <v>9.0926899999999991E-2</v>
      </c>
      <c r="I21" s="332">
        <v>0</v>
      </c>
      <c r="J21" s="332">
        <v>0</v>
      </c>
      <c r="K21" s="317">
        <f t="shared" si="0"/>
        <v>9.0926899999999991E-2</v>
      </c>
      <c r="L21" s="332">
        <v>0</v>
      </c>
      <c r="M21" s="332">
        <v>0</v>
      </c>
      <c r="N21" s="332">
        <v>0</v>
      </c>
      <c r="O21" s="332">
        <v>0</v>
      </c>
      <c r="P21" s="321">
        <f t="shared" si="1"/>
        <v>0</v>
      </c>
      <c r="Q21" s="332">
        <v>0</v>
      </c>
      <c r="R21" s="332">
        <v>0</v>
      </c>
      <c r="S21" s="332">
        <v>0</v>
      </c>
      <c r="T21" s="333">
        <v>0</v>
      </c>
      <c r="U21" s="334">
        <f t="shared" si="3"/>
        <v>0</v>
      </c>
      <c r="V21" s="335" t="s">
        <v>38</v>
      </c>
      <c r="W21" s="332">
        <v>0.6</v>
      </c>
      <c r="X21" s="332">
        <v>0.6</v>
      </c>
      <c r="Y21" s="335" t="s">
        <v>38</v>
      </c>
    </row>
    <row r="22" spans="1:25" x14ac:dyDescent="0.25">
      <c r="A22" s="325" t="s">
        <v>57</v>
      </c>
      <c r="B22" s="313" t="s">
        <v>62</v>
      </c>
      <c r="C22" s="326" t="s">
        <v>63</v>
      </c>
      <c r="D22" s="327">
        <v>3</v>
      </c>
      <c r="E22" s="328">
        <v>0</v>
      </c>
      <c r="F22" s="321">
        <v>0</v>
      </c>
      <c r="G22" s="329">
        <v>0</v>
      </c>
      <c r="H22" s="331">
        <f>8075/1000000</f>
        <v>8.0750000000000006E-3</v>
      </c>
      <c r="I22" s="331">
        <v>1.4950000000000001</v>
      </c>
      <c r="J22" s="331">
        <v>1.4950000000000001</v>
      </c>
      <c r="K22" s="317">
        <f t="shared" si="0"/>
        <v>2.998075</v>
      </c>
      <c r="L22" s="331">
        <v>0</v>
      </c>
      <c r="M22" s="331">
        <f>+L22</f>
        <v>0</v>
      </c>
      <c r="N22" s="331">
        <f>+L22</f>
        <v>0</v>
      </c>
      <c r="O22" s="331">
        <f>+L22</f>
        <v>0</v>
      </c>
      <c r="P22" s="321">
        <f t="shared" si="1"/>
        <v>0</v>
      </c>
      <c r="Q22" s="332">
        <v>0</v>
      </c>
      <c r="R22" s="332">
        <v>0</v>
      </c>
      <c r="S22" s="332">
        <v>0</v>
      </c>
      <c r="T22" s="333">
        <v>0</v>
      </c>
      <c r="U22" s="334">
        <f t="shared" si="3"/>
        <v>0</v>
      </c>
      <c r="V22" s="335" t="s">
        <v>38</v>
      </c>
      <c r="W22" s="332">
        <v>1.5</v>
      </c>
      <c r="X22" s="332">
        <v>1.5</v>
      </c>
      <c r="Y22" s="335" t="s">
        <v>38</v>
      </c>
    </row>
    <row r="23" spans="1:25" x14ac:dyDescent="0.25">
      <c r="A23" s="325" t="s">
        <v>57</v>
      </c>
      <c r="B23" s="313" t="s">
        <v>62</v>
      </c>
      <c r="C23" s="326" t="s">
        <v>64</v>
      </c>
      <c r="D23" s="327">
        <v>3</v>
      </c>
      <c r="E23" s="328">
        <v>0</v>
      </c>
      <c r="F23" s="321">
        <v>0</v>
      </c>
      <c r="G23" s="329">
        <v>0</v>
      </c>
      <c r="H23" s="332">
        <v>0</v>
      </c>
      <c r="I23" s="332">
        <v>0</v>
      </c>
      <c r="J23" s="332">
        <v>0</v>
      </c>
      <c r="K23" s="317">
        <f t="shared" si="0"/>
        <v>0</v>
      </c>
      <c r="L23" s="331">
        <f>+((3-E23)/4)+0.006</f>
        <v>0.75600000000000001</v>
      </c>
      <c r="M23" s="331">
        <f>+L23</f>
        <v>0.75600000000000001</v>
      </c>
      <c r="N23" s="331">
        <f>+L23</f>
        <v>0.75600000000000001</v>
      </c>
      <c r="O23" s="331">
        <f>+L23</f>
        <v>0.75600000000000001</v>
      </c>
      <c r="P23" s="321">
        <f t="shared" si="1"/>
        <v>3.024</v>
      </c>
      <c r="Q23" s="332">
        <v>0</v>
      </c>
      <c r="R23" s="332">
        <v>0</v>
      </c>
      <c r="S23" s="332">
        <v>0</v>
      </c>
      <c r="T23" s="333">
        <v>0</v>
      </c>
      <c r="U23" s="334">
        <f t="shared" si="3"/>
        <v>0</v>
      </c>
      <c r="V23" s="335" t="s">
        <v>38</v>
      </c>
      <c r="W23" s="332">
        <v>1.5</v>
      </c>
      <c r="X23" s="332">
        <v>1.5</v>
      </c>
      <c r="Y23" s="335" t="s">
        <v>38</v>
      </c>
    </row>
    <row r="24" spans="1:25" x14ac:dyDescent="0.25">
      <c r="A24" s="325" t="s">
        <v>57</v>
      </c>
      <c r="B24" s="313" t="s">
        <v>62</v>
      </c>
      <c r="C24" s="336" t="s">
        <v>65</v>
      </c>
      <c r="D24" s="327">
        <v>0.8</v>
      </c>
      <c r="E24" s="328">
        <v>0</v>
      </c>
      <c r="F24" s="337">
        <v>2.855566E-2</v>
      </c>
      <c r="G24" s="329">
        <v>0</v>
      </c>
      <c r="H24" s="332">
        <v>0</v>
      </c>
      <c r="I24" s="332">
        <v>0</v>
      </c>
      <c r="J24" s="332">
        <v>0</v>
      </c>
      <c r="K24" s="317">
        <f t="shared" si="0"/>
        <v>0</v>
      </c>
      <c r="L24" s="338">
        <f>800000/4/1000000</f>
        <v>0.2</v>
      </c>
      <c r="M24" s="332">
        <f>+L24</f>
        <v>0.2</v>
      </c>
      <c r="N24" s="332">
        <f>+L24</f>
        <v>0.2</v>
      </c>
      <c r="O24" s="332">
        <f>+L24</f>
        <v>0.2</v>
      </c>
      <c r="P24" s="321">
        <f t="shared" si="1"/>
        <v>0.8</v>
      </c>
      <c r="Q24" s="332">
        <v>0</v>
      </c>
      <c r="R24" s="332">
        <v>0</v>
      </c>
      <c r="S24" s="332">
        <v>0</v>
      </c>
      <c r="T24" s="333">
        <v>0</v>
      </c>
      <c r="U24" s="334">
        <f t="shared" si="3"/>
        <v>0</v>
      </c>
      <c r="V24" s="335" t="s">
        <v>38</v>
      </c>
      <c r="W24" s="332">
        <v>0.4</v>
      </c>
      <c r="X24" s="332">
        <v>0.4</v>
      </c>
      <c r="Y24" s="335" t="s">
        <v>38</v>
      </c>
    </row>
    <row r="25" spans="1:25" ht="30" x14ac:dyDescent="0.25">
      <c r="A25" s="339" t="s">
        <v>66</v>
      </c>
      <c r="B25" s="313" t="s">
        <v>66</v>
      </c>
      <c r="C25" s="336" t="s">
        <v>67</v>
      </c>
      <c r="D25" s="327">
        <v>0.5</v>
      </c>
      <c r="E25" s="340">
        <v>0</v>
      </c>
      <c r="F25" s="337">
        <v>1.6067100000000001E-3</v>
      </c>
      <c r="G25" s="329">
        <v>0</v>
      </c>
      <c r="H25" s="341">
        <f>39262.83/1000000</f>
        <v>3.9262829999999999E-2</v>
      </c>
      <c r="I25" s="342">
        <f>+H25</f>
        <v>3.9262829999999999E-2</v>
      </c>
      <c r="J25" s="342">
        <f>+I25</f>
        <v>3.9262829999999999E-2</v>
      </c>
      <c r="K25" s="317">
        <f t="shared" si="0"/>
        <v>0.11778849</v>
      </c>
      <c r="L25" s="343">
        <f>125000/4/1000000</f>
        <v>3.125E-2</v>
      </c>
      <c r="M25" s="344">
        <f>+L25</f>
        <v>3.125E-2</v>
      </c>
      <c r="N25" s="344">
        <f>+L25</f>
        <v>3.125E-2</v>
      </c>
      <c r="O25" s="344">
        <f>+L25</f>
        <v>3.125E-2</v>
      </c>
      <c r="P25" s="321">
        <f t="shared" si="1"/>
        <v>0.125</v>
      </c>
      <c r="Q25" s="344">
        <f>125000/4/1000000</f>
        <v>3.125E-2</v>
      </c>
      <c r="R25" s="344">
        <f>+Q25</f>
        <v>3.125E-2</v>
      </c>
      <c r="S25" s="344">
        <f>+Q25</f>
        <v>3.125E-2</v>
      </c>
      <c r="T25" s="345">
        <f>+Q25</f>
        <v>3.125E-2</v>
      </c>
      <c r="U25" s="334">
        <f t="shared" si="3"/>
        <v>0.125</v>
      </c>
      <c r="V25" s="346" t="s">
        <v>38</v>
      </c>
      <c r="W25" s="344">
        <v>0.25</v>
      </c>
      <c r="X25" s="344">
        <v>0.25</v>
      </c>
      <c r="Y25" s="346" t="s">
        <v>38</v>
      </c>
    </row>
    <row r="26" spans="1:25" x14ac:dyDescent="0.25">
      <c r="A26" s="347" t="s">
        <v>68</v>
      </c>
      <c r="B26" s="348" t="s">
        <v>2</v>
      </c>
      <c r="C26" s="349" t="s">
        <v>2</v>
      </c>
      <c r="D26" s="54">
        <f>+SUM(D5:D25)</f>
        <v>110.752</v>
      </c>
      <c r="E26" s="350">
        <v>0</v>
      </c>
      <c r="F26" s="323">
        <f t="shared" ref="F26:U26" si="9">+SUM(F5:F25)</f>
        <v>62.007899590000001</v>
      </c>
      <c r="G26" s="351">
        <f t="shared" si="9"/>
        <v>0.97004447999999999</v>
      </c>
      <c r="H26" s="352">
        <f t="shared" si="9"/>
        <v>0.45311491999999998</v>
      </c>
      <c r="I26" s="352">
        <f t="shared" si="9"/>
        <v>12.514486010000001</v>
      </c>
      <c r="J26" s="352">
        <f t="shared" si="9"/>
        <v>12.514486010000001</v>
      </c>
      <c r="K26" s="323">
        <f t="shared" si="9"/>
        <v>26.452131420000001</v>
      </c>
      <c r="L26" s="352">
        <f t="shared" si="9"/>
        <v>2.7859085000000006</v>
      </c>
      <c r="M26" s="352">
        <f t="shared" si="9"/>
        <v>2.7859085000000006</v>
      </c>
      <c r="N26" s="352">
        <f t="shared" si="9"/>
        <v>2.7859085000000006</v>
      </c>
      <c r="O26" s="352">
        <f t="shared" si="9"/>
        <v>2.7859085000000006</v>
      </c>
      <c r="P26" s="323">
        <f t="shared" si="9"/>
        <v>11.143634000000002</v>
      </c>
      <c r="Q26" s="352">
        <f t="shared" si="9"/>
        <v>0.7569999999999999</v>
      </c>
      <c r="R26" s="352">
        <f t="shared" si="9"/>
        <v>0.7569999999999999</v>
      </c>
      <c r="S26" s="352">
        <f t="shared" si="9"/>
        <v>0.7569999999999999</v>
      </c>
      <c r="T26" s="352">
        <f t="shared" si="9"/>
        <v>0.7569999999999999</v>
      </c>
      <c r="U26" s="323">
        <f t="shared" si="9"/>
        <v>3.0279999999999996</v>
      </c>
      <c r="V26" s="353" t="s">
        <v>2</v>
      </c>
      <c r="W26" s="352" t="s">
        <v>2</v>
      </c>
      <c r="X26" s="370" t="s">
        <v>2</v>
      </c>
      <c r="Y26" s="353" t="s">
        <v>2</v>
      </c>
    </row>
    <row r="27" spans="1:25" x14ac:dyDescent="0.25">
      <c r="A27" s="354" t="s">
        <v>2</v>
      </c>
      <c r="B27" s="355" t="s">
        <v>2</v>
      </c>
      <c r="C27" s="356" t="s">
        <v>2</v>
      </c>
      <c r="D27" s="357" t="s">
        <v>2</v>
      </c>
      <c r="E27" s="358" t="s">
        <v>2</v>
      </c>
      <c r="F27" s="358" t="s">
        <v>2</v>
      </c>
      <c r="G27" s="359" t="s">
        <v>2</v>
      </c>
      <c r="H27" s="359" t="s">
        <v>2</v>
      </c>
      <c r="I27" s="359" t="s">
        <v>2</v>
      </c>
      <c r="J27" s="359" t="s">
        <v>2</v>
      </c>
      <c r="K27" s="360" t="s">
        <v>2</v>
      </c>
      <c r="L27" s="353" t="s">
        <v>2</v>
      </c>
      <c r="M27" s="353" t="s">
        <v>2</v>
      </c>
      <c r="N27" s="353" t="s">
        <v>2</v>
      </c>
      <c r="O27" s="353" t="s">
        <v>2</v>
      </c>
      <c r="P27" s="360" t="s">
        <v>2</v>
      </c>
      <c r="Q27" s="353" t="s">
        <v>2</v>
      </c>
      <c r="R27" s="353" t="s">
        <v>2</v>
      </c>
      <c r="S27" s="353" t="s">
        <v>2</v>
      </c>
      <c r="T27" s="353" t="s">
        <v>2</v>
      </c>
      <c r="U27" s="360" t="s">
        <v>2</v>
      </c>
      <c r="V27" s="353" t="s">
        <v>2</v>
      </c>
      <c r="W27" s="352" t="s">
        <v>2</v>
      </c>
      <c r="X27" s="371" t="s">
        <v>2</v>
      </c>
      <c r="Y27" s="353" t="s">
        <v>2</v>
      </c>
    </row>
    <row r="28" spans="1:25" ht="45" x14ac:dyDescent="0.25">
      <c r="A28" s="354" t="s">
        <v>69</v>
      </c>
      <c r="B28" s="355" t="s">
        <v>2</v>
      </c>
      <c r="C28" s="356" t="s">
        <v>70</v>
      </c>
      <c r="D28" s="361">
        <f>(6936000+41616000+20808000)/1000000</f>
        <v>69.36</v>
      </c>
      <c r="E28" s="350">
        <v>0</v>
      </c>
      <c r="F28" s="350">
        <v>0</v>
      </c>
      <c r="G28" s="362">
        <v>0</v>
      </c>
      <c r="H28" s="362">
        <v>0</v>
      </c>
      <c r="I28" s="362">
        <v>0</v>
      </c>
      <c r="J28" s="362">
        <f>6936000/1000000</f>
        <v>6.9359999999999999</v>
      </c>
      <c r="K28" s="363">
        <f>SUM(G28:J28)</f>
        <v>6.9359999999999999</v>
      </c>
      <c r="L28" s="352">
        <v>10.404</v>
      </c>
      <c r="M28" s="352">
        <v>10.404</v>
      </c>
      <c r="N28" s="352">
        <f>41616000/4000000</f>
        <v>10.404</v>
      </c>
      <c r="O28" s="352">
        <v>10.404</v>
      </c>
      <c r="P28" s="363">
        <f>+SUM(L28:O28)</f>
        <v>41.616</v>
      </c>
      <c r="Q28" s="352">
        <f>20808000/4000000</f>
        <v>5.202</v>
      </c>
      <c r="R28" s="352">
        <v>5.202</v>
      </c>
      <c r="S28" s="352">
        <v>5.202</v>
      </c>
      <c r="T28" s="352">
        <v>5.0202</v>
      </c>
      <c r="U28" s="363">
        <f>+SUM(Q28:T28)</f>
        <v>20.626200000000001</v>
      </c>
      <c r="V28" s="353">
        <v>0</v>
      </c>
      <c r="W28" s="352">
        <v>0</v>
      </c>
      <c r="X28" s="371">
        <v>0</v>
      </c>
      <c r="Y28" s="353" t="s">
        <v>38</v>
      </c>
    </row>
    <row r="29" spans="1:25" x14ac:dyDescent="0.25">
      <c r="A29" s="354" t="s">
        <v>2</v>
      </c>
      <c r="B29" s="364" t="s">
        <v>2</v>
      </c>
      <c r="C29" s="356" t="s">
        <v>71</v>
      </c>
      <c r="D29" s="365">
        <v>148.01</v>
      </c>
      <c r="E29" s="366">
        <v>0</v>
      </c>
      <c r="F29" s="70">
        <f t="shared" ref="F29:U29" si="10">+F28+F26</f>
        <v>62.007899590000001</v>
      </c>
      <c r="G29" s="70">
        <f t="shared" si="10"/>
        <v>0.97004447999999999</v>
      </c>
      <c r="H29" s="70">
        <f t="shared" si="10"/>
        <v>0.45311491999999998</v>
      </c>
      <c r="I29" s="70">
        <f t="shared" si="10"/>
        <v>12.514486010000001</v>
      </c>
      <c r="J29" s="70">
        <f t="shared" si="10"/>
        <v>19.450486009999999</v>
      </c>
      <c r="K29" s="70">
        <f t="shared" si="10"/>
        <v>33.388131420000001</v>
      </c>
      <c r="L29" s="70">
        <f t="shared" si="10"/>
        <v>13.189908500000001</v>
      </c>
      <c r="M29" s="70">
        <f t="shared" si="10"/>
        <v>13.189908500000001</v>
      </c>
      <c r="N29" s="70">
        <f t="shared" si="10"/>
        <v>13.189908500000001</v>
      </c>
      <c r="O29" s="70">
        <f t="shared" si="10"/>
        <v>13.189908500000001</v>
      </c>
      <c r="P29" s="70">
        <f t="shared" si="10"/>
        <v>52.759634000000005</v>
      </c>
      <c r="Q29" s="70">
        <f t="shared" si="10"/>
        <v>5.9589999999999996</v>
      </c>
      <c r="R29" s="70">
        <f t="shared" si="10"/>
        <v>5.9589999999999996</v>
      </c>
      <c r="S29" s="70">
        <f t="shared" si="10"/>
        <v>5.9589999999999996</v>
      </c>
      <c r="T29" s="70">
        <f t="shared" si="10"/>
        <v>5.7771999999999997</v>
      </c>
      <c r="U29" s="70">
        <f t="shared" si="10"/>
        <v>23.654199999999999</v>
      </c>
      <c r="V29" s="70"/>
      <c r="W29" s="72">
        <f>SUM(W5:W28)</f>
        <v>60.340880000000006</v>
      </c>
      <c r="X29" s="72">
        <f>SUM(X5:X28)</f>
        <v>53.37912</v>
      </c>
      <c r="Y29" s="367" t="s">
        <v>72</v>
      </c>
    </row>
    <row r="30" spans="1:25" x14ac:dyDescent="0.25">
      <c r="A30" s="304"/>
      <c r="B30" s="304"/>
      <c r="C30" s="368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</row>
    <row r="31" spans="1:25" x14ac:dyDescent="0.25">
      <c r="A31" s="303" t="s">
        <v>35</v>
      </c>
      <c r="B31" s="304"/>
      <c r="C31" s="304"/>
      <c r="D31" s="304"/>
      <c r="E31" s="304"/>
      <c r="F31" s="77">
        <f>+SUMIF($Y$5:$Y$28,$A31,F$5:F$28)</f>
        <v>50.981635490000002</v>
      </c>
      <c r="G31" s="390"/>
      <c r="H31" s="390"/>
      <c r="I31" s="390"/>
      <c r="J31" s="390"/>
      <c r="K31" s="77">
        <f t="shared" ref="I31:U32" ca="1" si="11">+SUMIF($Y$5:$Y$28,$A31,K$5:K$25)</f>
        <v>2.9648795100000003</v>
      </c>
      <c r="L31" s="390"/>
      <c r="M31" s="390"/>
      <c r="N31" s="390"/>
      <c r="O31" s="390"/>
      <c r="P31" s="77">
        <f t="shared" ca="1" si="11"/>
        <v>3.598392</v>
      </c>
      <c r="Q31" s="390"/>
      <c r="R31" s="390"/>
      <c r="S31" s="390"/>
      <c r="T31" s="390"/>
      <c r="U31" s="77">
        <f t="shared" ca="1" si="11"/>
        <v>1.6</v>
      </c>
      <c r="V31" s="304"/>
      <c r="W31" s="77">
        <f>+SUMIF($Y$5:$Y$28,$A31,W$5:W$28)</f>
        <v>36.100880000000004</v>
      </c>
      <c r="X31" s="77">
        <f>+SUMIF($Y$5:$Y$28,$A31,X$5:X$28)</f>
        <v>30.099119999999999</v>
      </c>
      <c r="Y31" s="304"/>
    </row>
    <row r="32" spans="1:25" x14ac:dyDescent="0.25">
      <c r="A32" s="303" t="s">
        <v>38</v>
      </c>
      <c r="B32" s="304"/>
      <c r="C32" s="304"/>
      <c r="D32" s="345"/>
      <c r="E32" s="304"/>
      <c r="F32" s="77">
        <f ca="1">+SUMIF($Y$5:$Y$28,$A32,F$5:F$25)</f>
        <v>11.026264100000001</v>
      </c>
      <c r="G32" s="390"/>
      <c r="H32" s="390"/>
      <c r="I32" s="390"/>
      <c r="J32" s="390"/>
      <c r="K32" s="77">
        <f t="shared" ca="1" si="11"/>
        <v>30.423251909999998</v>
      </c>
      <c r="L32" s="390"/>
      <c r="M32" s="390"/>
      <c r="N32" s="390"/>
      <c r="O32" s="390"/>
      <c r="P32" s="77">
        <f t="shared" ca="1" si="11"/>
        <v>49.161242000000001</v>
      </c>
      <c r="Q32" s="390"/>
      <c r="R32" s="390"/>
      <c r="S32" s="390"/>
      <c r="T32" s="390"/>
      <c r="U32" s="77">
        <f>+SUMIF($Y$5:$Y$28,$A32,U$5:U$28)</f>
        <v>22.054200000000002</v>
      </c>
      <c r="V32" s="304"/>
      <c r="W32" s="77">
        <f>+SUMIF($Y$5:$Y$28,$A32,W$5:W$28)</f>
        <v>24.24</v>
      </c>
      <c r="X32" s="77">
        <f>+SUMIF($Y$5:$Y$28,$A32,X$5:X$28)</f>
        <v>23.28</v>
      </c>
      <c r="Y32" s="304"/>
    </row>
    <row r="33" spans="1:25" x14ac:dyDescent="0.25">
      <c r="A33" s="304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</row>
    <row r="34" spans="1:25" x14ac:dyDescent="0.25">
      <c r="A34" s="304"/>
      <c r="B34" s="304"/>
      <c r="C34" s="304"/>
      <c r="D34" s="304"/>
      <c r="E34" s="304"/>
      <c r="F34" s="304"/>
      <c r="G34" s="304"/>
      <c r="H34" s="345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</row>
    <row r="35" spans="1:25" x14ac:dyDescent="0.25">
      <c r="A35" s="304"/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</row>
    <row r="36" spans="1:25" x14ac:dyDescent="0.25">
      <c r="A36" s="304"/>
      <c r="B36" s="304"/>
      <c r="C36" s="304"/>
      <c r="D36" s="304"/>
      <c r="E36" s="304"/>
      <c r="F36" s="304"/>
      <c r="G36" s="345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45"/>
      <c r="X36" s="345"/>
      <c r="Y36" s="304"/>
    </row>
    <row r="37" spans="1:25" x14ac:dyDescent="0.25">
      <c r="K37" s="304"/>
    </row>
  </sheetData>
  <mergeCells count="2">
    <mergeCell ref="E3:H3"/>
    <mergeCell ref="I3:U3"/>
  </mergeCells>
  <pageMargins left="0.25" right="0.25" top="0.25" bottom="0.25" header="0" footer="0"/>
  <pageSetup paperSize="5" scale="7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8B79-7A33-449F-9333-0ECC9F18E1D2}">
  <sheetPr>
    <tabColor rgb="FFFFFF00"/>
    <pageSetUpPr fitToPage="1"/>
  </sheetPr>
  <dimension ref="A1:D49"/>
  <sheetViews>
    <sheetView topLeftCell="A3" workbookViewId="0">
      <selection activeCell="D50" sqref="D50"/>
    </sheetView>
  </sheetViews>
  <sheetFormatPr defaultRowHeight="15" outlineLevelRow="1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293" t="s">
        <v>73</v>
      </c>
      <c r="B1" s="294"/>
      <c r="C1" s="294"/>
      <c r="D1" s="294"/>
    </row>
    <row r="2" spans="1:4" hidden="1" x14ac:dyDescent="0.25"/>
    <row r="3" spans="1:4" outlineLevel="1" x14ac:dyDescent="0.25">
      <c r="A3" s="295" t="s">
        <v>74</v>
      </c>
      <c r="B3" s="295" t="s">
        <v>75</v>
      </c>
      <c r="C3" s="295" t="s">
        <v>76</v>
      </c>
      <c r="D3" s="295" t="s">
        <v>77</v>
      </c>
    </row>
    <row r="4" spans="1:4" outlineLevel="1" x14ac:dyDescent="0.25">
      <c r="A4" t="s">
        <v>78</v>
      </c>
      <c r="B4" s="5">
        <f>B8/4</f>
        <v>149.25</v>
      </c>
      <c r="C4" s="5">
        <v>14.9</v>
      </c>
      <c r="D4" t="s">
        <v>79</v>
      </c>
    </row>
    <row r="5" spans="1:4" outlineLevel="1" x14ac:dyDescent="0.25">
      <c r="A5" t="s">
        <v>80</v>
      </c>
      <c r="B5" s="5">
        <v>149.25</v>
      </c>
      <c r="C5" s="5">
        <v>14.9</v>
      </c>
      <c r="D5" t="s">
        <v>79</v>
      </c>
    </row>
    <row r="6" spans="1:4" outlineLevel="1" x14ac:dyDescent="0.25">
      <c r="A6" t="s">
        <v>81</v>
      </c>
      <c r="B6" s="5">
        <v>149.25</v>
      </c>
      <c r="C6" s="5">
        <v>14.9</v>
      </c>
      <c r="D6" t="s">
        <v>82</v>
      </c>
    </row>
    <row r="7" spans="1:4" outlineLevel="1" x14ac:dyDescent="0.25">
      <c r="A7" t="s">
        <v>83</v>
      </c>
      <c r="B7" s="5">
        <v>149.25</v>
      </c>
      <c r="C7" s="5">
        <v>14.9</v>
      </c>
      <c r="D7" t="s">
        <v>82</v>
      </c>
    </row>
    <row r="8" spans="1:4" outlineLevel="1" x14ac:dyDescent="0.25">
      <c r="B8" s="5">
        <v>597</v>
      </c>
      <c r="C8" s="5">
        <f>SUM(C4:C7)</f>
        <v>59.6</v>
      </c>
      <c r="D8" t="s">
        <v>84</v>
      </c>
    </row>
    <row r="9" spans="1:4" outlineLevel="1" x14ac:dyDescent="0.25">
      <c r="B9" s="5"/>
      <c r="C9" s="5"/>
    </row>
    <row r="10" spans="1:4" outlineLevel="1" x14ac:dyDescent="0.25">
      <c r="A10" s="293" t="s">
        <v>85</v>
      </c>
      <c r="B10" s="296"/>
      <c r="C10" s="296"/>
      <c r="D10" s="294"/>
    </row>
    <row r="11" spans="1:4" outlineLevel="1" x14ac:dyDescent="0.25">
      <c r="B11" s="5"/>
      <c r="C11" s="5"/>
    </row>
    <row r="12" spans="1:4" outlineLevel="1" x14ac:dyDescent="0.25">
      <c r="A12" s="80" t="s">
        <v>74</v>
      </c>
      <c r="B12" s="80" t="s">
        <v>75</v>
      </c>
      <c r="C12" s="80" t="s">
        <v>76</v>
      </c>
      <c r="D12" s="80" t="s">
        <v>77</v>
      </c>
    </row>
    <row r="13" spans="1:4" outlineLevel="1" x14ac:dyDescent="0.25">
      <c r="A13" t="s">
        <v>78</v>
      </c>
      <c r="B13" s="5">
        <v>166.7</v>
      </c>
      <c r="C13" s="5">
        <v>16.399999999999999</v>
      </c>
      <c r="D13" t="s">
        <v>79</v>
      </c>
    </row>
    <row r="14" spans="1:4" outlineLevel="1" x14ac:dyDescent="0.25">
      <c r="A14" t="s">
        <v>80</v>
      </c>
      <c r="B14" s="5">
        <v>170.7</v>
      </c>
      <c r="C14" s="5">
        <v>16.7</v>
      </c>
      <c r="D14" t="s">
        <v>79</v>
      </c>
    </row>
    <row r="15" spans="1:4" outlineLevel="1" x14ac:dyDescent="0.25">
      <c r="A15" t="s">
        <v>81</v>
      </c>
      <c r="B15" s="5">
        <v>168.7</v>
      </c>
      <c r="C15" s="5">
        <v>16.600000000000001</v>
      </c>
      <c r="D15" t="s">
        <v>82</v>
      </c>
    </row>
    <row r="16" spans="1:4" outlineLevel="1" x14ac:dyDescent="0.25">
      <c r="A16" t="s">
        <v>83</v>
      </c>
      <c r="B16" s="5">
        <v>168.7</v>
      </c>
      <c r="C16" s="5">
        <v>16.600000000000001</v>
      </c>
      <c r="D16" t="s">
        <v>82</v>
      </c>
    </row>
    <row r="17" spans="1:4" outlineLevel="1" x14ac:dyDescent="0.25">
      <c r="B17" s="5">
        <f>SUM(B13:B16)</f>
        <v>674.8</v>
      </c>
      <c r="C17" s="5">
        <f>SUM(C13:C16)</f>
        <v>66.3</v>
      </c>
      <c r="D17" t="s">
        <v>84</v>
      </c>
    </row>
    <row r="18" spans="1:4" outlineLevel="1" x14ac:dyDescent="0.25">
      <c r="B18" s="5"/>
      <c r="C18" s="5"/>
    </row>
    <row r="19" spans="1:4" x14ac:dyDescent="0.25">
      <c r="A19" s="293" t="s">
        <v>86</v>
      </c>
      <c r="B19" s="294"/>
      <c r="C19" s="294"/>
      <c r="D19" s="294"/>
    </row>
    <row r="21" spans="1:4" x14ac:dyDescent="0.25">
      <c r="A21" s="80" t="s">
        <v>74</v>
      </c>
      <c r="B21" s="80" t="s">
        <v>75</v>
      </c>
      <c r="C21" s="80" t="s">
        <v>76</v>
      </c>
      <c r="D21" s="80" t="s">
        <v>77</v>
      </c>
    </row>
    <row r="22" spans="1:4" x14ac:dyDescent="0.25">
      <c r="A22" t="s">
        <v>78</v>
      </c>
      <c r="B22" s="297">
        <v>168.5</v>
      </c>
      <c r="C22" s="297">
        <v>16.440000000000001</v>
      </c>
      <c r="D22" t="s">
        <v>79</v>
      </c>
    </row>
    <row r="23" spans="1:4" x14ac:dyDescent="0.25">
      <c r="A23" t="s">
        <v>80</v>
      </c>
      <c r="B23" s="297">
        <v>171.9</v>
      </c>
      <c r="C23" s="297">
        <v>16.73</v>
      </c>
      <c r="D23" t="s">
        <v>79</v>
      </c>
    </row>
    <row r="24" spans="1:4" x14ac:dyDescent="0.25">
      <c r="A24" t="s">
        <v>81</v>
      </c>
      <c r="B24" s="297">
        <v>174.3</v>
      </c>
      <c r="C24" s="297">
        <v>16.96</v>
      </c>
      <c r="D24" t="s">
        <v>87</v>
      </c>
    </row>
    <row r="25" spans="1:4" x14ac:dyDescent="0.25">
      <c r="A25" t="s">
        <v>83</v>
      </c>
      <c r="B25" s="297">
        <v>176</v>
      </c>
      <c r="C25" s="297">
        <v>17.100000000000001</v>
      </c>
      <c r="D25" t="s">
        <v>87</v>
      </c>
    </row>
    <row r="26" spans="1:4" x14ac:dyDescent="0.25">
      <c r="A26" t="s">
        <v>88</v>
      </c>
      <c r="B26" s="297">
        <v>50</v>
      </c>
      <c r="C26" s="297">
        <v>5</v>
      </c>
      <c r="D26" t="s">
        <v>89</v>
      </c>
    </row>
    <row r="27" spans="1:4" x14ac:dyDescent="0.25">
      <c r="B27" s="5">
        <f>SUM(B22:B26)</f>
        <v>740.7</v>
      </c>
      <c r="C27" s="298">
        <f>SUM(C22:C26)</f>
        <v>72.23</v>
      </c>
      <c r="D27" t="s">
        <v>84</v>
      </c>
    </row>
    <row r="28" spans="1:4" x14ac:dyDescent="0.25">
      <c r="A28" t="s">
        <v>90</v>
      </c>
      <c r="B28" s="5"/>
      <c r="C28" s="298"/>
    </row>
    <row r="29" spans="1:4" x14ac:dyDescent="0.25">
      <c r="B29" s="5"/>
      <c r="C29" s="298"/>
    </row>
    <row r="30" spans="1:4" x14ac:dyDescent="0.25">
      <c r="A30" s="293" t="s">
        <v>91</v>
      </c>
      <c r="B30" s="294"/>
      <c r="C30" s="294"/>
      <c r="D30" s="294"/>
    </row>
    <row r="31" spans="1:4" x14ac:dyDescent="0.25">
      <c r="A31" s="80" t="s">
        <v>74</v>
      </c>
      <c r="B31" s="80" t="s">
        <v>75</v>
      </c>
      <c r="C31" s="80" t="s">
        <v>76</v>
      </c>
      <c r="D31" s="80" t="s">
        <v>77</v>
      </c>
    </row>
    <row r="32" spans="1:4" x14ac:dyDescent="0.25">
      <c r="A32" t="s">
        <v>78</v>
      </c>
      <c r="B32" s="299">
        <v>175304085.45700008</v>
      </c>
      <c r="C32" s="299">
        <v>16700895.509700023</v>
      </c>
      <c r="D32" s="3" t="s">
        <v>92</v>
      </c>
    </row>
    <row r="33" spans="1:4" x14ac:dyDescent="0.25">
      <c r="A33" t="s">
        <v>80</v>
      </c>
      <c r="B33" s="299">
        <v>177656315.79199994</v>
      </c>
      <c r="C33" s="299">
        <v>16964340.57670005</v>
      </c>
      <c r="D33" s="3" t="s">
        <v>92</v>
      </c>
    </row>
    <row r="34" spans="1:4" x14ac:dyDescent="0.25">
      <c r="A34" t="s">
        <v>81</v>
      </c>
      <c r="B34" s="299">
        <v>194386318.54299977</v>
      </c>
      <c r="C34" s="299">
        <v>18638773.711300015</v>
      </c>
      <c r="D34" s="3" t="s">
        <v>92</v>
      </c>
    </row>
    <row r="35" spans="1:4" x14ac:dyDescent="0.25">
      <c r="A35" t="s">
        <v>83</v>
      </c>
      <c r="B35" s="299">
        <v>203425557.26699984</v>
      </c>
      <c r="C35" s="299">
        <v>19561748.653699983</v>
      </c>
      <c r="D35" s="3" t="s">
        <v>92</v>
      </c>
    </row>
    <row r="36" spans="1:4" x14ac:dyDescent="0.25">
      <c r="A36" t="s">
        <v>88</v>
      </c>
      <c r="B36" s="299">
        <v>0</v>
      </c>
      <c r="C36" s="299">
        <v>0</v>
      </c>
    </row>
    <row r="37" spans="1:4" x14ac:dyDescent="0.25">
      <c r="B37" s="299">
        <f>SUM(B32:B36)</f>
        <v>750772277.05899966</v>
      </c>
      <c r="C37" s="300">
        <f>SUM(C32:C36)</f>
        <v>71865758.451400071</v>
      </c>
      <c r="D37" s="3" t="s">
        <v>93</v>
      </c>
    </row>
    <row r="38" spans="1:4" x14ac:dyDescent="0.25">
      <c r="A38" t="s">
        <v>94</v>
      </c>
      <c r="B38" s="299"/>
      <c r="C38" s="300"/>
    </row>
    <row r="39" spans="1:4" x14ac:dyDescent="0.25">
      <c r="B39" s="299"/>
      <c r="C39" s="300"/>
    </row>
    <row r="40" spans="1:4" x14ac:dyDescent="0.25">
      <c r="A40" s="293" t="s">
        <v>95</v>
      </c>
      <c r="B40" s="294"/>
      <c r="C40" s="294"/>
      <c r="D40" s="294"/>
    </row>
    <row r="41" spans="1:4" x14ac:dyDescent="0.25">
      <c r="A41" s="80" t="s">
        <v>74</v>
      </c>
      <c r="B41" s="80" t="s">
        <v>75</v>
      </c>
      <c r="C41" s="80" t="s">
        <v>76</v>
      </c>
      <c r="D41" s="80" t="s">
        <v>77</v>
      </c>
    </row>
    <row r="42" spans="1:4" x14ac:dyDescent="0.25">
      <c r="A42" t="s">
        <v>96</v>
      </c>
      <c r="B42" s="301"/>
      <c r="C42" s="301"/>
      <c r="D42" s="3" t="s">
        <v>92</v>
      </c>
    </row>
    <row r="43" spans="1:4" x14ac:dyDescent="0.25">
      <c r="A43" t="s">
        <v>97</v>
      </c>
      <c r="B43" s="301"/>
      <c r="C43" s="301"/>
      <c r="D43" s="3" t="s">
        <v>92</v>
      </c>
    </row>
    <row r="44" spans="1:4" x14ac:dyDescent="0.25">
      <c r="A44" t="s">
        <v>98</v>
      </c>
      <c r="B44" s="301"/>
      <c r="C44" s="301"/>
      <c r="D44" s="3" t="s">
        <v>92</v>
      </c>
    </row>
    <row r="45" spans="1:4" x14ac:dyDescent="0.25">
      <c r="A45" t="s">
        <v>99</v>
      </c>
      <c r="B45" s="301"/>
      <c r="C45" s="301"/>
      <c r="D45" s="3" t="s">
        <v>92</v>
      </c>
    </row>
    <row r="46" spans="1:4" x14ac:dyDescent="0.25">
      <c r="A46" t="s">
        <v>88</v>
      </c>
      <c r="B46" s="299">
        <v>0</v>
      </c>
      <c r="C46" s="299">
        <v>0</v>
      </c>
    </row>
    <row r="47" spans="1:4" x14ac:dyDescent="0.25">
      <c r="B47" s="299">
        <f>SUM(B42:B46)</f>
        <v>0</v>
      </c>
      <c r="C47" s="300">
        <f>SUM(C42:C46)</f>
        <v>0</v>
      </c>
      <c r="D47" t="s">
        <v>84</v>
      </c>
    </row>
    <row r="49" customFormat="1" x14ac:dyDescent="0.25"/>
  </sheetData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5927-5B32-42A2-B5DF-F8D8E1BA69F7}">
  <sheetPr>
    <pageSetUpPr fitToPage="1"/>
  </sheetPr>
  <dimension ref="A1:AB36"/>
  <sheetViews>
    <sheetView zoomScale="70" zoomScaleNormal="70" workbookViewId="0">
      <pane xSplit="1" ySplit="4" topLeftCell="F5" activePane="bottomRight" state="frozen"/>
      <selection pane="topRight" activeCell="F4" sqref="F4"/>
      <selection pane="bottomLeft" activeCell="F4" sqref="F4"/>
      <selection pane="bottomRight" activeCell="F4" sqref="F4"/>
    </sheetView>
  </sheetViews>
  <sheetFormatPr defaultColWidth="9.140625" defaultRowHeight="15" outlineLevelCol="1" x14ac:dyDescent="0.25"/>
  <cols>
    <col min="1" max="1" width="35.5703125" customWidth="1"/>
    <col min="2" max="2" width="33" customWidth="1"/>
    <col min="3" max="3" width="65.85546875" customWidth="1"/>
    <col min="4" max="4" width="11.7109375" customWidth="1"/>
    <col min="5" max="5" width="14.28515625" customWidth="1"/>
    <col min="6" max="6" width="14.28515625" customWidth="1" outlineLevel="1"/>
    <col min="7" max="9" width="11.7109375" customWidth="1" outlineLevel="1"/>
    <col min="10" max="10" width="15.42578125" customWidth="1"/>
    <col min="11" max="13" width="9.140625" customWidth="1" outlineLevel="1"/>
    <col min="14" max="14" width="10.7109375" customWidth="1" outlineLevel="1"/>
    <col min="15" max="15" width="12.5703125" bestFit="1" customWidth="1"/>
    <col min="16" max="16" width="10.7109375" customWidth="1" outlineLevel="1"/>
    <col min="17" max="17" width="11.140625" customWidth="1" outlineLevel="1"/>
    <col min="18" max="18" width="10.7109375" customWidth="1" outlineLevel="1"/>
    <col min="19" max="19" width="11" customWidth="1"/>
    <col min="20" max="20" width="12.140625" customWidth="1"/>
    <col min="21" max="21" width="10.28515625" customWidth="1"/>
    <col min="22" max="24" width="10.85546875" customWidth="1"/>
    <col min="25" max="25" width="12.140625" customWidth="1"/>
    <col min="26" max="28" width="21.7109375" customWidth="1"/>
  </cols>
  <sheetData>
    <row r="1" spans="1:28" x14ac:dyDescent="0.25">
      <c r="A1" s="1" t="s">
        <v>0</v>
      </c>
      <c r="C1" s="2" t="s">
        <v>100</v>
      </c>
      <c r="D1" s="2"/>
      <c r="E1" s="3"/>
    </row>
    <row r="2" spans="1:28" s="5" customFormat="1" x14ac:dyDescent="0.25">
      <c r="A2" s="4" t="s">
        <v>101</v>
      </c>
      <c r="C2" s="6" t="s">
        <v>3</v>
      </c>
      <c r="D2" s="7"/>
      <c r="E2" s="8"/>
      <c r="F2" s="9">
        <f>0.5409+0.062</f>
        <v>0.60289999999999999</v>
      </c>
      <c r="G2" s="9">
        <v>0.61080000000000001</v>
      </c>
      <c r="H2" s="9">
        <v>0.61080000000000001</v>
      </c>
      <c r="I2" s="9">
        <v>0.61080000000000001</v>
      </c>
      <c r="J2" s="10">
        <f>ROUND(AVERAGE(F2:I2),4)</f>
        <v>0.60880000000000001</v>
      </c>
      <c r="K2" s="9">
        <v>0.61080000000000001</v>
      </c>
      <c r="L2" s="9">
        <v>0.61080000000000001</v>
      </c>
      <c r="M2" s="9">
        <v>0.53959999999999997</v>
      </c>
      <c r="N2" s="9">
        <v>0.53959999999999997</v>
      </c>
      <c r="O2" s="10">
        <f>ROUND(AVERAGE(K2:N2),4)</f>
        <v>0.57520000000000004</v>
      </c>
      <c r="P2" s="9">
        <v>0.53959999999999997</v>
      </c>
      <c r="Q2" s="9">
        <v>0.53959999999999997</v>
      </c>
      <c r="R2" s="9">
        <v>0.53959999999999997</v>
      </c>
      <c r="S2" s="9">
        <v>0.53959999999999997</v>
      </c>
      <c r="T2" s="10">
        <f>ROUND(AVERAGE(P2:S2),4)</f>
        <v>0.53959999999999997</v>
      </c>
      <c r="U2" s="9">
        <v>0.53959999999999997</v>
      </c>
      <c r="V2" s="9">
        <v>0.53959999999999997</v>
      </c>
      <c r="W2" s="9">
        <v>0.53959999999999997</v>
      </c>
      <c r="X2" s="9">
        <v>0.53959999999999997</v>
      </c>
      <c r="Y2" s="10">
        <f>ROUND(AVERAGE(U2:X2),4)</f>
        <v>0.53959999999999997</v>
      </c>
    </row>
    <row r="3" spans="1:28" x14ac:dyDescent="0.25">
      <c r="A3" s="4" t="s">
        <v>4</v>
      </c>
      <c r="B3" s="3" t="s">
        <v>102</v>
      </c>
      <c r="E3" s="375" t="s">
        <v>103</v>
      </c>
      <c r="F3" s="376"/>
      <c r="G3" s="376"/>
      <c r="H3" s="376"/>
      <c r="I3" s="376"/>
      <c r="J3" s="376"/>
      <c r="K3" s="376"/>
      <c r="L3" s="11" t="s">
        <v>7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8" ht="60.75" thickBot="1" x14ac:dyDescent="0.3">
      <c r="A4" s="12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104</v>
      </c>
      <c r="G4" s="12" t="s">
        <v>105</v>
      </c>
      <c r="H4" s="12" t="s">
        <v>106</v>
      </c>
      <c r="I4" s="12" t="s">
        <v>107</v>
      </c>
      <c r="J4" s="13" t="s">
        <v>13</v>
      </c>
      <c r="K4" s="12" t="s">
        <v>108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109</v>
      </c>
      <c r="Q4" s="12" t="s">
        <v>20</v>
      </c>
      <c r="R4" s="12" t="s">
        <v>21</v>
      </c>
      <c r="S4" s="12" t="s">
        <v>110</v>
      </c>
      <c r="T4" s="12" t="s">
        <v>23</v>
      </c>
      <c r="U4" s="12" t="s">
        <v>24</v>
      </c>
      <c r="V4" s="12" t="s">
        <v>25</v>
      </c>
      <c r="W4" s="12" t="s">
        <v>26</v>
      </c>
      <c r="X4" s="12" t="s">
        <v>27</v>
      </c>
      <c r="Y4" s="14" t="s">
        <v>28</v>
      </c>
      <c r="Z4" s="12" t="s">
        <v>29</v>
      </c>
      <c r="AA4" s="12" t="s">
        <v>30</v>
      </c>
      <c r="AB4" s="12" t="s">
        <v>31</v>
      </c>
    </row>
    <row r="5" spans="1:28" ht="30" x14ac:dyDescent="0.25">
      <c r="A5" s="15" t="s">
        <v>32</v>
      </c>
      <c r="B5" s="16" t="s">
        <v>33</v>
      </c>
      <c r="C5" s="17" t="s">
        <v>34</v>
      </c>
      <c r="D5" s="18">
        <v>1.6</v>
      </c>
      <c r="E5" s="19">
        <v>0</v>
      </c>
      <c r="F5" s="20">
        <v>0</v>
      </c>
      <c r="G5" s="20">
        <v>0</v>
      </c>
      <c r="H5" s="20">
        <v>0</v>
      </c>
      <c r="I5" s="20">
        <v>0</v>
      </c>
      <c r="J5" s="21">
        <f>+SUM(F5:I5)</f>
        <v>0</v>
      </c>
      <c r="K5" s="22">
        <v>0</v>
      </c>
      <c r="L5" s="23">
        <v>0</v>
      </c>
      <c r="M5" s="23">
        <v>0</v>
      </c>
      <c r="N5" s="23">
        <v>0</v>
      </c>
      <c r="O5" s="21">
        <f t="shared" ref="O5:O9" si="0">SUM(K5:N5)</f>
        <v>0</v>
      </c>
      <c r="P5" s="24">
        <v>0</v>
      </c>
      <c r="Q5" s="23">
        <v>0</v>
      </c>
      <c r="R5" s="23">
        <v>0</v>
      </c>
      <c r="S5" s="23">
        <v>0</v>
      </c>
      <c r="T5" s="25">
        <f t="shared" ref="T5:T24" si="1">SUM(P5:S5)</f>
        <v>0</v>
      </c>
      <c r="U5" s="26">
        <f>160000/4/100000</f>
        <v>0.4</v>
      </c>
      <c r="V5" s="26">
        <f>+U5</f>
        <v>0.4</v>
      </c>
      <c r="W5" s="26">
        <f>+V5</f>
        <v>0.4</v>
      </c>
      <c r="X5" s="27">
        <f>+W5</f>
        <v>0.4</v>
      </c>
      <c r="Y5" s="28">
        <f>SUM(U5:X5)</f>
        <v>1.6</v>
      </c>
      <c r="Z5" s="29" t="s">
        <v>35</v>
      </c>
      <c r="AA5" s="23">
        <f t="shared" ref="AA5:AA25" si="2">IF(Z5="BENEFITS",$E$2*E5+SUMPRODUCT($F$2:$I$2,F5:I5)+SUMPRODUCT($K$2:$N$2,K5:N5)+SUMPRODUCT($P$2:$S$2,P5:S5)+SUMPRODUCT($U$2:$W$2,U5:W5), IF(Z5="ADMIN",D5*0.5,"DETERMINE MATCH"))</f>
        <v>0.64751999999999998</v>
      </c>
      <c r="AB5" s="23">
        <f t="shared" ref="AB5:AB10" si="3">D5-AA5</f>
        <v>0.9524800000000001</v>
      </c>
    </row>
    <row r="6" spans="1:28" ht="30" x14ac:dyDescent="0.25">
      <c r="A6" s="15" t="s">
        <v>36</v>
      </c>
      <c r="B6" s="16" t="s">
        <v>33</v>
      </c>
      <c r="C6" s="17" t="s">
        <v>37</v>
      </c>
      <c r="D6" s="18">
        <v>1</v>
      </c>
      <c r="E6" s="19">
        <v>0</v>
      </c>
      <c r="F6" s="20">
        <v>0</v>
      </c>
      <c r="G6" s="20">
        <v>0</v>
      </c>
      <c r="H6" s="20">
        <v>0</v>
      </c>
      <c r="I6" s="20">
        <v>0</v>
      </c>
      <c r="J6" s="21">
        <f t="shared" ref="J6:J25" si="4">+SUM(F6:I6)</f>
        <v>0</v>
      </c>
      <c r="K6" s="22">
        <v>0</v>
      </c>
      <c r="L6" s="26">
        <f>1000000/3/1000000</f>
        <v>0.33333333333333331</v>
      </c>
      <c r="M6" s="30">
        <f t="shared" ref="M6:N10" si="5">+L6</f>
        <v>0.33333333333333331</v>
      </c>
      <c r="N6" s="30">
        <f t="shared" si="5"/>
        <v>0.33333333333333331</v>
      </c>
      <c r="O6" s="21">
        <f t="shared" si="0"/>
        <v>1</v>
      </c>
      <c r="P6" s="24">
        <v>0</v>
      </c>
      <c r="Q6" s="23">
        <v>0</v>
      </c>
      <c r="R6" s="23">
        <v>0</v>
      </c>
      <c r="S6" s="23">
        <v>0</v>
      </c>
      <c r="T6" s="25">
        <f t="shared" si="1"/>
        <v>0</v>
      </c>
      <c r="U6" s="24">
        <v>0</v>
      </c>
      <c r="V6" s="24">
        <v>0</v>
      </c>
      <c r="W6" s="24">
        <v>0</v>
      </c>
      <c r="X6" s="31">
        <v>0</v>
      </c>
      <c r="Y6" s="32">
        <f t="shared" ref="Y6:Y28" si="6">SUM(U6:X6)</f>
        <v>0</v>
      </c>
      <c r="Z6" s="29" t="s">
        <v>38</v>
      </c>
      <c r="AA6" s="23">
        <f t="shared" si="2"/>
        <v>0.5</v>
      </c>
      <c r="AB6" s="23">
        <f t="shared" si="3"/>
        <v>0.5</v>
      </c>
    </row>
    <row r="7" spans="1:28" ht="30" x14ac:dyDescent="0.25">
      <c r="A7" s="15" t="s">
        <v>36</v>
      </c>
      <c r="B7" s="16" t="s">
        <v>33</v>
      </c>
      <c r="C7" s="17" t="s">
        <v>39</v>
      </c>
      <c r="D7" s="18">
        <v>5</v>
      </c>
      <c r="E7" s="19">
        <v>0</v>
      </c>
      <c r="F7" s="20">
        <v>0</v>
      </c>
      <c r="G7" s="20">
        <v>0</v>
      </c>
      <c r="H7" s="20">
        <v>0</v>
      </c>
      <c r="I7" s="20">
        <v>0</v>
      </c>
      <c r="J7" s="21">
        <f t="shared" si="4"/>
        <v>0</v>
      </c>
      <c r="K7" s="22">
        <v>0</v>
      </c>
      <c r="L7" s="26">
        <f>5000000/3/1000000</f>
        <v>1.6666666666666667</v>
      </c>
      <c r="M7" s="30">
        <f t="shared" si="5"/>
        <v>1.6666666666666667</v>
      </c>
      <c r="N7" s="30">
        <f t="shared" si="5"/>
        <v>1.6666666666666667</v>
      </c>
      <c r="O7" s="21">
        <f t="shared" si="0"/>
        <v>5</v>
      </c>
      <c r="P7" s="24">
        <v>0</v>
      </c>
      <c r="Q7" s="23">
        <v>0</v>
      </c>
      <c r="R7" s="23">
        <v>0</v>
      </c>
      <c r="S7" s="23">
        <v>0</v>
      </c>
      <c r="T7" s="25">
        <f t="shared" si="1"/>
        <v>0</v>
      </c>
      <c r="U7" s="24">
        <v>0</v>
      </c>
      <c r="V7" s="24">
        <v>0</v>
      </c>
      <c r="W7" s="24">
        <v>0</v>
      </c>
      <c r="X7" s="31">
        <v>0</v>
      </c>
      <c r="Y7" s="32">
        <f t="shared" si="6"/>
        <v>0</v>
      </c>
      <c r="Z7" s="29" t="s">
        <v>38</v>
      </c>
      <c r="AA7" s="23">
        <f t="shared" si="2"/>
        <v>2.5</v>
      </c>
      <c r="AB7" s="23">
        <f t="shared" si="3"/>
        <v>2.5</v>
      </c>
    </row>
    <row r="8" spans="1:28" ht="30" x14ac:dyDescent="0.25">
      <c r="A8" s="15" t="s">
        <v>36</v>
      </c>
      <c r="B8" s="16" t="s">
        <v>33</v>
      </c>
      <c r="C8" s="17" t="s">
        <v>40</v>
      </c>
      <c r="D8" s="18">
        <v>10.1</v>
      </c>
      <c r="E8" s="19">
        <v>0</v>
      </c>
      <c r="F8" s="20">
        <v>0</v>
      </c>
      <c r="G8" s="20">
        <v>0</v>
      </c>
      <c r="H8" s="20">
        <v>0</v>
      </c>
      <c r="I8" s="20">
        <v>0</v>
      </c>
      <c r="J8" s="21">
        <f t="shared" si="4"/>
        <v>0</v>
      </c>
      <c r="K8" s="22">
        <v>0</v>
      </c>
      <c r="L8" s="26">
        <f>10100000/3/1000000</f>
        <v>3.3666666666666667</v>
      </c>
      <c r="M8" s="30">
        <f t="shared" si="5"/>
        <v>3.3666666666666667</v>
      </c>
      <c r="N8" s="30">
        <f t="shared" si="5"/>
        <v>3.3666666666666667</v>
      </c>
      <c r="O8" s="21">
        <f t="shared" si="0"/>
        <v>10.1</v>
      </c>
      <c r="P8" s="24">
        <v>0</v>
      </c>
      <c r="Q8" s="23">
        <v>0</v>
      </c>
      <c r="R8" s="23">
        <v>0</v>
      </c>
      <c r="S8" s="23">
        <v>0</v>
      </c>
      <c r="T8" s="25">
        <f t="shared" si="1"/>
        <v>0</v>
      </c>
      <c r="U8" s="24">
        <v>0</v>
      </c>
      <c r="V8" s="24">
        <v>0</v>
      </c>
      <c r="W8" s="24">
        <v>0</v>
      </c>
      <c r="X8" s="31">
        <v>0</v>
      </c>
      <c r="Y8" s="32">
        <f t="shared" si="6"/>
        <v>0</v>
      </c>
      <c r="Z8" s="29" t="s">
        <v>38</v>
      </c>
      <c r="AA8" s="23">
        <f t="shared" si="2"/>
        <v>5.05</v>
      </c>
      <c r="AB8" s="23">
        <f t="shared" si="3"/>
        <v>5.05</v>
      </c>
    </row>
    <row r="9" spans="1:28" ht="30" x14ac:dyDescent="0.25">
      <c r="A9" s="15" t="s">
        <v>36</v>
      </c>
      <c r="B9" s="16" t="s">
        <v>33</v>
      </c>
      <c r="C9" s="17" t="s">
        <v>41</v>
      </c>
      <c r="D9" s="18">
        <v>1.5</v>
      </c>
      <c r="E9" s="19">
        <v>0</v>
      </c>
      <c r="F9" s="20">
        <v>0</v>
      </c>
      <c r="G9" s="20">
        <v>0</v>
      </c>
      <c r="H9" s="20">
        <v>0</v>
      </c>
      <c r="I9" s="20">
        <v>0</v>
      </c>
      <c r="J9" s="21">
        <f t="shared" si="4"/>
        <v>0</v>
      </c>
      <c r="K9" s="22">
        <v>0</v>
      </c>
      <c r="L9" s="26">
        <f>1500000/3/1000000</f>
        <v>0.5</v>
      </c>
      <c r="M9" s="30">
        <f t="shared" si="5"/>
        <v>0.5</v>
      </c>
      <c r="N9" s="30">
        <f t="shared" si="5"/>
        <v>0.5</v>
      </c>
      <c r="O9" s="21">
        <f t="shared" si="0"/>
        <v>1.5</v>
      </c>
      <c r="P9" s="24">
        <v>0</v>
      </c>
      <c r="Q9" s="23">
        <v>0</v>
      </c>
      <c r="R9" s="23">
        <v>0</v>
      </c>
      <c r="S9" s="23">
        <v>0</v>
      </c>
      <c r="T9" s="25">
        <f t="shared" si="1"/>
        <v>0</v>
      </c>
      <c r="U9" s="24">
        <v>0</v>
      </c>
      <c r="V9" s="24">
        <v>0</v>
      </c>
      <c r="W9" s="24">
        <v>0</v>
      </c>
      <c r="X9" s="31">
        <v>0</v>
      </c>
      <c r="Y9" s="32">
        <f t="shared" si="6"/>
        <v>0</v>
      </c>
      <c r="Z9" s="29" t="s">
        <v>38</v>
      </c>
      <c r="AA9" s="23">
        <f t="shared" si="2"/>
        <v>0.75</v>
      </c>
      <c r="AB9" s="23">
        <f t="shared" si="3"/>
        <v>0.75</v>
      </c>
    </row>
    <row r="10" spans="1:28" ht="30" x14ac:dyDescent="0.25">
      <c r="A10" s="15" t="s">
        <v>36</v>
      </c>
      <c r="B10" s="16" t="s">
        <v>33</v>
      </c>
      <c r="C10" s="17" t="s">
        <v>42</v>
      </c>
      <c r="D10" s="18">
        <v>1.5</v>
      </c>
      <c r="E10" s="19">
        <v>0</v>
      </c>
      <c r="F10" s="20">
        <v>0</v>
      </c>
      <c r="G10" s="20">
        <v>0</v>
      </c>
      <c r="H10" s="20">
        <v>0</v>
      </c>
      <c r="I10" s="20">
        <v>0</v>
      </c>
      <c r="J10" s="33">
        <f t="shared" si="4"/>
        <v>0</v>
      </c>
      <c r="K10" s="22">
        <v>0</v>
      </c>
      <c r="L10" s="26">
        <f>1500000/3/1000000</f>
        <v>0.5</v>
      </c>
      <c r="M10" s="30">
        <f t="shared" si="5"/>
        <v>0.5</v>
      </c>
      <c r="N10" s="30">
        <f t="shared" si="5"/>
        <v>0.5</v>
      </c>
      <c r="O10" s="21">
        <v>1.5</v>
      </c>
      <c r="P10" s="24">
        <v>0</v>
      </c>
      <c r="Q10" s="23">
        <v>0</v>
      </c>
      <c r="R10" s="23">
        <v>0</v>
      </c>
      <c r="S10" s="23">
        <v>0</v>
      </c>
      <c r="T10" s="25">
        <f t="shared" si="1"/>
        <v>0</v>
      </c>
      <c r="U10" s="24">
        <v>0</v>
      </c>
      <c r="V10" s="24">
        <v>0</v>
      </c>
      <c r="W10" s="24">
        <v>0</v>
      </c>
      <c r="X10" s="31">
        <v>0</v>
      </c>
      <c r="Y10" s="32">
        <f t="shared" si="6"/>
        <v>0</v>
      </c>
      <c r="Z10" s="29" t="s">
        <v>35</v>
      </c>
      <c r="AA10" s="23">
        <f t="shared" si="2"/>
        <v>0.84499999999999997</v>
      </c>
      <c r="AB10" s="23">
        <f t="shared" si="3"/>
        <v>0.65500000000000003</v>
      </c>
    </row>
    <row r="11" spans="1:28" x14ac:dyDescent="0.25">
      <c r="A11" s="15" t="s">
        <v>36</v>
      </c>
      <c r="B11" s="16" t="s">
        <v>43</v>
      </c>
      <c r="C11" s="17" t="s">
        <v>44</v>
      </c>
      <c r="D11" s="18">
        <v>0.25</v>
      </c>
      <c r="E11" s="19">
        <v>0</v>
      </c>
      <c r="F11" s="20">
        <v>0</v>
      </c>
      <c r="G11" s="20">
        <v>0</v>
      </c>
      <c r="H11" s="20">
        <v>0</v>
      </c>
      <c r="I11" s="20">
        <v>0</v>
      </c>
      <c r="J11" s="21">
        <f t="shared" si="4"/>
        <v>0</v>
      </c>
      <c r="K11" s="22">
        <v>0</v>
      </c>
      <c r="L11" s="23">
        <v>0</v>
      </c>
      <c r="M11" s="23">
        <v>0</v>
      </c>
      <c r="N11" s="23">
        <v>0</v>
      </c>
      <c r="O11" s="21">
        <v>0.25</v>
      </c>
      <c r="P11" s="24">
        <v>0</v>
      </c>
      <c r="Q11" s="23">
        <v>0</v>
      </c>
      <c r="R11" s="23">
        <v>0</v>
      </c>
      <c r="S11" s="23">
        <v>0</v>
      </c>
      <c r="T11" s="25">
        <f t="shared" si="1"/>
        <v>0</v>
      </c>
      <c r="U11" s="26">
        <f>250000/4/1000000</f>
        <v>6.25E-2</v>
      </c>
      <c r="V11" s="26">
        <f>+U11</f>
        <v>6.25E-2</v>
      </c>
      <c r="W11" s="26">
        <f>+U11</f>
        <v>6.25E-2</v>
      </c>
      <c r="X11" s="27">
        <f>+U11</f>
        <v>6.25E-2</v>
      </c>
      <c r="Y11" s="32">
        <f t="shared" si="6"/>
        <v>0.25</v>
      </c>
      <c r="Z11" s="29" t="s">
        <v>38</v>
      </c>
      <c r="AA11" s="23">
        <f t="shared" si="2"/>
        <v>0.125</v>
      </c>
      <c r="AB11" s="23">
        <v>0.125</v>
      </c>
    </row>
    <row r="12" spans="1:28" ht="30" x14ac:dyDescent="0.25">
      <c r="A12" s="15" t="s">
        <v>45</v>
      </c>
      <c r="B12" s="16" t="s">
        <v>33</v>
      </c>
      <c r="C12" s="17" t="s">
        <v>46</v>
      </c>
      <c r="D12" s="18">
        <v>4</v>
      </c>
      <c r="E12" s="19">
        <v>0</v>
      </c>
      <c r="F12" s="20">
        <v>0</v>
      </c>
      <c r="G12" s="20">
        <v>0</v>
      </c>
      <c r="H12" s="34">
        <f>1999999.5*2/1000000</f>
        <v>3.9999989999999999</v>
      </c>
      <c r="I12" s="20">
        <v>0</v>
      </c>
      <c r="J12" s="21">
        <f t="shared" si="4"/>
        <v>3.9999989999999999</v>
      </c>
      <c r="K12" s="22">
        <v>0</v>
      </c>
      <c r="L12" s="23">
        <v>0</v>
      </c>
      <c r="M12" s="23">
        <v>0</v>
      </c>
      <c r="N12" s="23">
        <v>0</v>
      </c>
      <c r="O12" s="21">
        <f t="shared" ref="O12:O24" si="7">SUM(K12:N12)</f>
        <v>0</v>
      </c>
      <c r="P12" s="24">
        <v>0</v>
      </c>
      <c r="Q12" s="23">
        <v>0</v>
      </c>
      <c r="R12" s="23">
        <v>0</v>
      </c>
      <c r="S12" s="23">
        <v>0</v>
      </c>
      <c r="T12" s="25">
        <f t="shared" si="1"/>
        <v>0</v>
      </c>
      <c r="U12" s="24">
        <v>0</v>
      </c>
      <c r="V12" s="24">
        <v>0</v>
      </c>
      <c r="W12" s="24">
        <v>0</v>
      </c>
      <c r="X12" s="31">
        <v>0</v>
      </c>
      <c r="Y12" s="32">
        <f t="shared" si="6"/>
        <v>0</v>
      </c>
      <c r="Z12" s="29" t="s">
        <v>38</v>
      </c>
      <c r="AA12" s="23">
        <f t="shared" si="2"/>
        <v>2</v>
      </c>
      <c r="AB12" s="23">
        <f t="shared" ref="AB12:AB24" si="8">D12-AA12</f>
        <v>2</v>
      </c>
    </row>
    <row r="13" spans="1:28" ht="30" x14ac:dyDescent="0.25">
      <c r="A13" s="15" t="s">
        <v>47</v>
      </c>
      <c r="B13" s="16" t="s">
        <v>33</v>
      </c>
      <c r="C13" s="17" t="s">
        <v>48</v>
      </c>
      <c r="D13" s="18">
        <v>5</v>
      </c>
      <c r="E13" s="19">
        <v>0</v>
      </c>
      <c r="F13" s="20">
        <v>0</v>
      </c>
      <c r="G13" s="20">
        <v>0</v>
      </c>
      <c r="H13" s="20">
        <v>0</v>
      </c>
      <c r="I13" s="20">
        <v>0</v>
      </c>
      <c r="J13" s="33">
        <f t="shared" si="4"/>
        <v>0</v>
      </c>
      <c r="K13" s="22">
        <v>0</v>
      </c>
      <c r="L13" s="26">
        <f>1301608/3/1000000</f>
        <v>0.43386933333333333</v>
      </c>
      <c r="M13" s="30">
        <f t="shared" ref="M13:N18" si="9">+L13</f>
        <v>0.43386933333333333</v>
      </c>
      <c r="N13" s="30">
        <f t="shared" si="9"/>
        <v>0.43386933333333333</v>
      </c>
      <c r="O13" s="21">
        <f t="shared" si="7"/>
        <v>1.3016079999999999</v>
      </c>
      <c r="P13" s="26">
        <f>3598392/4/1000000</f>
        <v>0.89959800000000001</v>
      </c>
      <c r="Q13" s="26">
        <f t="shared" ref="Q13:Q18" si="10">+P13</f>
        <v>0.89959800000000001</v>
      </c>
      <c r="R13" s="26">
        <f t="shared" ref="R13:R18" si="11">+P13</f>
        <v>0.89959800000000001</v>
      </c>
      <c r="S13" s="26">
        <f t="shared" ref="S13:S18" si="12">+P13</f>
        <v>0.89959800000000001</v>
      </c>
      <c r="T13" s="25">
        <f t="shared" si="1"/>
        <v>3.598392</v>
      </c>
      <c r="U13" s="24">
        <v>0</v>
      </c>
      <c r="V13" s="24">
        <v>0</v>
      </c>
      <c r="W13" s="24">
        <v>0</v>
      </c>
      <c r="X13" s="31">
        <v>0</v>
      </c>
      <c r="Y13" s="32">
        <f t="shared" si="6"/>
        <v>0</v>
      </c>
      <c r="Z13" s="29" t="s">
        <v>35</v>
      </c>
      <c r="AA13" s="23">
        <f t="shared" si="2"/>
        <v>2.6749314965333331</v>
      </c>
      <c r="AB13" s="23">
        <f t="shared" si="8"/>
        <v>2.3250685034666669</v>
      </c>
    </row>
    <row r="14" spans="1:28" x14ac:dyDescent="0.25">
      <c r="A14" s="15" t="s">
        <v>49</v>
      </c>
      <c r="B14" s="16" t="s">
        <v>43</v>
      </c>
      <c r="C14" s="17" t="s">
        <v>50</v>
      </c>
      <c r="D14" s="18">
        <v>4.7</v>
      </c>
      <c r="E14" s="19">
        <v>0</v>
      </c>
      <c r="F14" s="20">
        <v>0</v>
      </c>
      <c r="G14" s="20">
        <v>0</v>
      </c>
      <c r="H14" s="20">
        <v>0</v>
      </c>
      <c r="I14" s="34">
        <f>((144385+12143.52)/1000000)</f>
        <v>0.15652851999999998</v>
      </c>
      <c r="J14" s="21">
        <f t="shared" si="4"/>
        <v>0.15652851999999998</v>
      </c>
      <c r="K14" s="22">
        <f>926402/1000000</f>
        <v>0.92640199999999995</v>
      </c>
      <c r="L14" s="26">
        <f>+(1.5-K14)/3</f>
        <v>0.19119933333333336</v>
      </c>
      <c r="M14" s="30">
        <f t="shared" si="9"/>
        <v>0.19119933333333336</v>
      </c>
      <c r="N14" s="30">
        <f t="shared" si="9"/>
        <v>0.19119933333333336</v>
      </c>
      <c r="O14" s="21">
        <f t="shared" si="7"/>
        <v>1.4999999999999998</v>
      </c>
      <c r="P14" s="26">
        <f>2500000/4/1000000</f>
        <v>0.625</v>
      </c>
      <c r="Q14" s="26">
        <f t="shared" si="10"/>
        <v>0.625</v>
      </c>
      <c r="R14" s="26">
        <f t="shared" si="11"/>
        <v>0.625</v>
      </c>
      <c r="S14" s="26">
        <f t="shared" si="12"/>
        <v>0.625</v>
      </c>
      <c r="T14" s="25">
        <f t="shared" si="1"/>
        <v>2.5</v>
      </c>
      <c r="U14" s="26">
        <f>700000/4/1000000</f>
        <v>0.17499999999999999</v>
      </c>
      <c r="V14" s="26">
        <f>+U14</f>
        <v>0.17499999999999999</v>
      </c>
      <c r="W14" s="26">
        <f>+U14</f>
        <v>0.17499999999999999</v>
      </c>
      <c r="X14" s="27">
        <f>+U14</f>
        <v>0.17499999999999999</v>
      </c>
      <c r="Y14" s="32">
        <f t="shared" si="6"/>
        <v>0.7</v>
      </c>
      <c r="Z14" s="29" t="s">
        <v>38</v>
      </c>
      <c r="AA14" s="23">
        <f t="shared" si="2"/>
        <v>2.35</v>
      </c>
      <c r="AB14" s="23">
        <f t="shared" si="8"/>
        <v>2.35</v>
      </c>
    </row>
    <row r="15" spans="1:28" x14ac:dyDescent="0.25">
      <c r="A15" s="15" t="s">
        <v>49</v>
      </c>
      <c r="B15" s="16" t="s">
        <v>43</v>
      </c>
      <c r="C15" s="17" t="s">
        <v>51</v>
      </c>
      <c r="D15" s="18">
        <v>0.6</v>
      </c>
      <c r="E15" s="19">
        <v>0</v>
      </c>
      <c r="F15" s="20">
        <v>0</v>
      </c>
      <c r="G15" s="20">
        <v>0</v>
      </c>
      <c r="H15" s="20">
        <v>0</v>
      </c>
      <c r="I15" s="34">
        <v>0</v>
      </c>
      <c r="J15" s="21">
        <f t="shared" si="4"/>
        <v>0</v>
      </c>
      <c r="K15" s="22">
        <v>0</v>
      </c>
      <c r="L15" s="26">
        <f>300000/3/1000000</f>
        <v>0.1</v>
      </c>
      <c r="M15" s="30">
        <f t="shared" si="9"/>
        <v>0.1</v>
      </c>
      <c r="N15" s="30">
        <f t="shared" si="9"/>
        <v>0.1</v>
      </c>
      <c r="O15" s="21">
        <f t="shared" si="7"/>
        <v>0.30000000000000004</v>
      </c>
      <c r="P15" s="26">
        <f>62500/4/1000000</f>
        <v>1.5625E-2</v>
      </c>
      <c r="Q15" s="26">
        <f t="shared" si="10"/>
        <v>1.5625E-2</v>
      </c>
      <c r="R15" s="26">
        <f t="shared" si="11"/>
        <v>1.5625E-2</v>
      </c>
      <c r="S15" s="26">
        <f t="shared" si="12"/>
        <v>1.5625E-2</v>
      </c>
      <c r="T15" s="25">
        <f t="shared" si="1"/>
        <v>6.25E-2</v>
      </c>
      <c r="U15" s="26">
        <f>175000/4/1000000</f>
        <v>4.3749999999999997E-2</v>
      </c>
      <c r="V15" s="26">
        <f>+U15</f>
        <v>4.3749999999999997E-2</v>
      </c>
      <c r="W15" s="26">
        <f>+U15</f>
        <v>4.3749999999999997E-2</v>
      </c>
      <c r="X15" s="27">
        <f>+U15</f>
        <v>4.3749999999999997E-2</v>
      </c>
      <c r="Y15" s="32">
        <f t="shared" si="6"/>
        <v>0.17499999999999999</v>
      </c>
      <c r="Z15" s="29" t="s">
        <v>38</v>
      </c>
      <c r="AA15" s="23">
        <f t="shared" si="2"/>
        <v>0.3</v>
      </c>
      <c r="AB15" s="23">
        <f t="shared" si="8"/>
        <v>0.3</v>
      </c>
    </row>
    <row r="16" spans="1:28" x14ac:dyDescent="0.25">
      <c r="A16" s="15" t="s">
        <v>49</v>
      </c>
      <c r="B16" s="16" t="s">
        <v>43</v>
      </c>
      <c r="C16" s="17" t="s">
        <v>52</v>
      </c>
      <c r="D16" s="18">
        <v>0.5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21">
        <f t="shared" si="4"/>
        <v>0</v>
      </c>
      <c r="K16" s="22">
        <v>0</v>
      </c>
      <c r="L16" s="26">
        <f>200000/3/1000000</f>
        <v>6.6666666666666666E-2</v>
      </c>
      <c r="M16" s="30">
        <f t="shared" si="9"/>
        <v>6.6666666666666666E-2</v>
      </c>
      <c r="N16" s="30">
        <f t="shared" si="9"/>
        <v>6.6666666666666666E-2</v>
      </c>
      <c r="O16" s="21">
        <f t="shared" si="7"/>
        <v>0.2</v>
      </c>
      <c r="P16" s="26">
        <f>200000/4/1000000</f>
        <v>0.05</v>
      </c>
      <c r="Q16" s="26">
        <f t="shared" si="10"/>
        <v>0.05</v>
      </c>
      <c r="R16" s="26">
        <f t="shared" si="11"/>
        <v>0.05</v>
      </c>
      <c r="S16" s="26">
        <f t="shared" si="12"/>
        <v>0.05</v>
      </c>
      <c r="T16" s="25">
        <f t="shared" si="1"/>
        <v>0.2</v>
      </c>
      <c r="U16" s="26">
        <f>78000/4/1000000</f>
        <v>1.95E-2</v>
      </c>
      <c r="V16" s="26">
        <f>+U16</f>
        <v>1.95E-2</v>
      </c>
      <c r="W16" s="26">
        <f>+U16</f>
        <v>1.95E-2</v>
      </c>
      <c r="X16" s="27">
        <f>+U16</f>
        <v>1.95E-2</v>
      </c>
      <c r="Y16" s="32">
        <f t="shared" si="6"/>
        <v>7.8E-2</v>
      </c>
      <c r="Z16" s="29" t="s">
        <v>38</v>
      </c>
      <c r="AA16" s="23">
        <f t="shared" si="2"/>
        <v>0.25</v>
      </c>
      <c r="AB16" s="23">
        <f t="shared" si="8"/>
        <v>0.25</v>
      </c>
    </row>
    <row r="17" spans="1:28" x14ac:dyDescent="0.25">
      <c r="A17" s="15" t="s">
        <v>49</v>
      </c>
      <c r="B17" s="16" t="s">
        <v>53</v>
      </c>
      <c r="C17" s="17" t="s">
        <v>54</v>
      </c>
      <c r="D17" s="18">
        <v>1.6</v>
      </c>
      <c r="E17" s="19">
        <v>0</v>
      </c>
      <c r="F17" s="20">
        <v>0</v>
      </c>
      <c r="G17" s="20">
        <v>0</v>
      </c>
      <c r="H17" s="20">
        <v>0</v>
      </c>
      <c r="I17" s="20">
        <v>0</v>
      </c>
      <c r="J17" s="21">
        <f t="shared" si="4"/>
        <v>0</v>
      </c>
      <c r="K17" s="22">
        <v>0</v>
      </c>
      <c r="L17" s="26">
        <f>1100000/3/1000000</f>
        <v>0.3666666666666667</v>
      </c>
      <c r="M17" s="30">
        <f t="shared" si="9"/>
        <v>0.3666666666666667</v>
      </c>
      <c r="N17" s="30">
        <f t="shared" si="9"/>
        <v>0.3666666666666667</v>
      </c>
      <c r="O17" s="21">
        <f t="shared" si="7"/>
        <v>1.1000000000000001</v>
      </c>
      <c r="P17" s="26">
        <f>400000/4/1000000</f>
        <v>0.1</v>
      </c>
      <c r="Q17" s="26">
        <f t="shared" si="10"/>
        <v>0.1</v>
      </c>
      <c r="R17" s="26">
        <f t="shared" si="11"/>
        <v>0.1</v>
      </c>
      <c r="S17" s="26">
        <f t="shared" si="12"/>
        <v>0.1</v>
      </c>
      <c r="T17" s="25">
        <f t="shared" si="1"/>
        <v>0.4</v>
      </c>
      <c r="U17" s="26">
        <f>100000/4/1000000</f>
        <v>2.5000000000000001E-2</v>
      </c>
      <c r="V17" s="26">
        <f>+U17</f>
        <v>2.5000000000000001E-2</v>
      </c>
      <c r="W17" s="26">
        <f>+U17</f>
        <v>2.5000000000000001E-2</v>
      </c>
      <c r="X17" s="27">
        <f>+U17</f>
        <v>2.5000000000000001E-2</v>
      </c>
      <c r="Y17" s="32">
        <f t="shared" si="6"/>
        <v>0.1</v>
      </c>
      <c r="Z17" s="29" t="s">
        <v>38</v>
      </c>
      <c r="AA17" s="23">
        <f t="shared" si="2"/>
        <v>0.8</v>
      </c>
      <c r="AB17" s="23">
        <f t="shared" si="8"/>
        <v>0.8</v>
      </c>
    </row>
    <row r="18" spans="1:28" ht="30" x14ac:dyDescent="0.25">
      <c r="A18" s="15" t="s">
        <v>55</v>
      </c>
      <c r="B18" s="16" t="s">
        <v>33</v>
      </c>
      <c r="C18" s="17" t="s">
        <v>56</v>
      </c>
      <c r="D18" s="18">
        <v>0.9</v>
      </c>
      <c r="E18" s="19">
        <v>0</v>
      </c>
      <c r="F18" s="20">
        <v>0</v>
      </c>
      <c r="G18" s="20">
        <v>0</v>
      </c>
      <c r="H18" s="20">
        <v>0</v>
      </c>
      <c r="I18" s="34">
        <v>0</v>
      </c>
      <c r="J18" s="21">
        <f t="shared" si="4"/>
        <v>0</v>
      </c>
      <c r="K18" s="22">
        <f>32337.48/1000000</f>
        <v>3.2337480000000002E-2</v>
      </c>
      <c r="L18" s="26">
        <f>+(0.265892-K18)/3</f>
        <v>7.7851506666666667E-2</v>
      </c>
      <c r="M18" s="30">
        <f t="shared" si="9"/>
        <v>7.7851506666666667E-2</v>
      </c>
      <c r="N18" s="30">
        <f t="shared" si="9"/>
        <v>7.7851506666666667E-2</v>
      </c>
      <c r="O18" s="21">
        <f t="shared" si="7"/>
        <v>0.26589200000000002</v>
      </c>
      <c r="P18" s="26">
        <f>433742/4/1000000</f>
        <v>0.1084355</v>
      </c>
      <c r="Q18" s="26">
        <f t="shared" si="10"/>
        <v>0.1084355</v>
      </c>
      <c r="R18" s="26">
        <f t="shared" si="11"/>
        <v>0.1084355</v>
      </c>
      <c r="S18" s="26">
        <f t="shared" si="12"/>
        <v>0.1084355</v>
      </c>
      <c r="T18" s="25">
        <f t="shared" si="1"/>
        <v>0.43374200000000002</v>
      </c>
      <c r="U18" s="24">
        <v>0</v>
      </c>
      <c r="V18" s="24">
        <v>0</v>
      </c>
      <c r="W18" s="24">
        <v>0</v>
      </c>
      <c r="X18" s="31">
        <v>0</v>
      </c>
      <c r="Y18" s="32">
        <f t="shared" si="6"/>
        <v>0</v>
      </c>
      <c r="Z18" s="29" t="s">
        <v>38</v>
      </c>
      <c r="AA18" s="23">
        <f t="shared" si="2"/>
        <v>0.45</v>
      </c>
      <c r="AB18" s="23">
        <f t="shared" si="8"/>
        <v>0.45</v>
      </c>
    </row>
    <row r="19" spans="1:28" x14ac:dyDescent="0.25">
      <c r="A19" s="15" t="s">
        <v>57</v>
      </c>
      <c r="B19" s="16" t="s">
        <v>58</v>
      </c>
      <c r="C19" s="17" t="s">
        <v>59</v>
      </c>
      <c r="D19" s="18">
        <v>58.1</v>
      </c>
      <c r="E19" s="19">
        <v>0</v>
      </c>
      <c r="F19" s="20">
        <v>0</v>
      </c>
      <c r="G19" s="34">
        <f>50981635.49/1000000</f>
        <v>50.981635490000002</v>
      </c>
      <c r="H19" s="20">
        <v>0</v>
      </c>
      <c r="I19" s="20">
        <v>0</v>
      </c>
      <c r="J19" s="33">
        <f t="shared" si="4"/>
        <v>50.981635490000002</v>
      </c>
      <c r="K19" s="22">
        <v>0</v>
      </c>
      <c r="L19" s="23">
        <v>0</v>
      </c>
      <c r="M19" s="23">
        <v>0</v>
      </c>
      <c r="N19" s="23">
        <v>0</v>
      </c>
      <c r="O19" s="21">
        <f t="shared" si="7"/>
        <v>0</v>
      </c>
      <c r="P19" s="24">
        <v>0</v>
      </c>
      <c r="Q19" s="23">
        <v>0</v>
      </c>
      <c r="R19" s="23">
        <v>0</v>
      </c>
      <c r="S19" s="23">
        <v>0</v>
      </c>
      <c r="T19" s="25">
        <f t="shared" si="1"/>
        <v>0</v>
      </c>
      <c r="U19" s="24">
        <v>0</v>
      </c>
      <c r="V19" s="24">
        <v>0</v>
      </c>
      <c r="W19" s="24">
        <v>0</v>
      </c>
      <c r="X19" s="31">
        <v>0</v>
      </c>
      <c r="Y19" s="32">
        <f t="shared" si="6"/>
        <v>0</v>
      </c>
      <c r="Z19" s="29" t="s">
        <v>35</v>
      </c>
      <c r="AA19" s="23">
        <f t="shared" si="2"/>
        <v>31.139582957292003</v>
      </c>
      <c r="AB19" s="23">
        <f t="shared" si="8"/>
        <v>26.960417042707999</v>
      </c>
    </row>
    <row r="20" spans="1:28" ht="30" x14ac:dyDescent="0.25">
      <c r="A20" s="15" t="s">
        <v>57</v>
      </c>
      <c r="B20" s="16" t="s">
        <v>58</v>
      </c>
      <c r="C20" s="17" t="s">
        <v>60</v>
      </c>
      <c r="D20" s="18">
        <v>5.9</v>
      </c>
      <c r="E20" s="19">
        <v>0</v>
      </c>
      <c r="F20" s="20">
        <v>0</v>
      </c>
      <c r="G20" s="20">
        <v>0</v>
      </c>
      <c r="H20" s="34">
        <f>5885172.56/1000000</f>
        <v>5.88517256</v>
      </c>
      <c r="I20" s="34">
        <v>0</v>
      </c>
      <c r="J20" s="21">
        <f t="shared" si="4"/>
        <v>5.88517256</v>
      </c>
      <c r="K20" s="22">
        <v>0</v>
      </c>
      <c r="L20" s="23">
        <v>0</v>
      </c>
      <c r="M20" s="23">
        <v>0</v>
      </c>
      <c r="N20" s="23">
        <v>0</v>
      </c>
      <c r="O20" s="21">
        <f t="shared" si="7"/>
        <v>0</v>
      </c>
      <c r="P20" s="24">
        <v>0</v>
      </c>
      <c r="Q20" s="23">
        <v>0</v>
      </c>
      <c r="R20" s="23">
        <v>0</v>
      </c>
      <c r="S20" s="23">
        <v>0</v>
      </c>
      <c r="T20" s="25">
        <f t="shared" si="1"/>
        <v>0</v>
      </c>
      <c r="U20" s="24">
        <v>0</v>
      </c>
      <c r="V20" s="24">
        <v>0</v>
      </c>
      <c r="W20" s="24">
        <v>0</v>
      </c>
      <c r="X20" s="31">
        <v>0</v>
      </c>
      <c r="Y20" s="32">
        <f t="shared" si="6"/>
        <v>0</v>
      </c>
      <c r="Z20" s="29" t="s">
        <v>38</v>
      </c>
      <c r="AA20" s="23">
        <f t="shared" si="2"/>
        <v>2.95</v>
      </c>
      <c r="AB20" s="23">
        <f t="shared" si="8"/>
        <v>2.95</v>
      </c>
    </row>
    <row r="21" spans="1:28" x14ac:dyDescent="0.25">
      <c r="A21" s="15" t="s">
        <v>57</v>
      </c>
      <c r="B21" s="16" t="s">
        <v>58</v>
      </c>
      <c r="C21" s="17" t="s">
        <v>61</v>
      </c>
      <c r="D21" s="35">
        <v>1.202</v>
      </c>
      <c r="E21" s="19">
        <v>0</v>
      </c>
      <c r="F21" s="20"/>
      <c r="G21" s="20"/>
      <c r="H21" s="34">
        <f>777167.85/1000000</f>
        <v>0.77716784999999999</v>
      </c>
      <c r="I21" s="34">
        <f>177233.8/1000000</f>
        <v>0.1772338</v>
      </c>
      <c r="J21" s="21">
        <f t="shared" si="4"/>
        <v>0.95440164999999999</v>
      </c>
      <c r="K21" s="22">
        <v>0</v>
      </c>
      <c r="L21" s="23">
        <v>0</v>
      </c>
      <c r="M21" s="23">
        <v>0</v>
      </c>
      <c r="N21" s="23">
        <v>0</v>
      </c>
      <c r="O21" s="21">
        <f t="shared" si="7"/>
        <v>0</v>
      </c>
      <c r="P21" s="24">
        <v>0</v>
      </c>
      <c r="Q21" s="23">
        <v>0</v>
      </c>
      <c r="R21" s="23">
        <v>0</v>
      </c>
      <c r="S21" s="23">
        <v>0</v>
      </c>
      <c r="T21" s="25">
        <f t="shared" si="1"/>
        <v>0</v>
      </c>
      <c r="U21" s="24">
        <v>0</v>
      </c>
      <c r="V21" s="24">
        <v>0</v>
      </c>
      <c r="W21" s="24">
        <v>0</v>
      </c>
      <c r="X21" s="31">
        <v>0</v>
      </c>
      <c r="Y21" s="32">
        <f t="shared" si="6"/>
        <v>0</v>
      </c>
      <c r="Z21" s="29" t="s">
        <v>38</v>
      </c>
      <c r="AA21" s="23">
        <f t="shared" si="2"/>
        <v>0.60099999999999998</v>
      </c>
      <c r="AB21" s="23">
        <f t="shared" si="8"/>
        <v>0.60099999999999998</v>
      </c>
    </row>
    <row r="22" spans="1:28" x14ac:dyDescent="0.25">
      <c r="A22" s="15" t="s">
        <v>57</v>
      </c>
      <c r="B22" s="16" t="s">
        <v>62</v>
      </c>
      <c r="C22" s="17" t="s">
        <v>63</v>
      </c>
      <c r="D22" s="18">
        <v>3</v>
      </c>
      <c r="E22" s="19">
        <v>0</v>
      </c>
      <c r="F22" s="20">
        <v>0</v>
      </c>
      <c r="G22" s="20">
        <v>0</v>
      </c>
      <c r="H22" s="20">
        <v>0</v>
      </c>
      <c r="I22" s="34">
        <v>0</v>
      </c>
      <c r="J22" s="21">
        <f t="shared" si="4"/>
        <v>0</v>
      </c>
      <c r="K22" s="22">
        <v>0</v>
      </c>
      <c r="L22" s="26">
        <f>3000000/3/1000000</f>
        <v>1</v>
      </c>
      <c r="M22" s="30">
        <f>+L22</f>
        <v>1</v>
      </c>
      <c r="N22" s="30">
        <f>+M22</f>
        <v>1</v>
      </c>
      <c r="O22" s="21">
        <f t="shared" si="7"/>
        <v>3</v>
      </c>
      <c r="P22" s="26">
        <f>3000000/4/1000000</f>
        <v>0.75</v>
      </c>
      <c r="Q22" s="26">
        <f>+P22</f>
        <v>0.75</v>
      </c>
      <c r="R22" s="26">
        <f>+P22</f>
        <v>0.75</v>
      </c>
      <c r="S22" s="26">
        <f>+P22</f>
        <v>0.75</v>
      </c>
      <c r="T22" s="25">
        <f t="shared" si="1"/>
        <v>3</v>
      </c>
      <c r="U22" s="24">
        <v>0</v>
      </c>
      <c r="V22" s="24">
        <v>0</v>
      </c>
      <c r="W22" s="24">
        <v>0</v>
      </c>
      <c r="X22" s="31">
        <v>0</v>
      </c>
      <c r="Y22" s="32">
        <f t="shared" si="6"/>
        <v>0</v>
      </c>
      <c r="Z22" s="29" t="s">
        <v>38</v>
      </c>
      <c r="AA22" s="23">
        <f t="shared" si="2"/>
        <v>1.5</v>
      </c>
      <c r="AB22" s="23">
        <f t="shared" si="8"/>
        <v>1.5</v>
      </c>
    </row>
    <row r="23" spans="1:28" ht="15.75" thickBot="1" x14ac:dyDescent="0.3">
      <c r="A23" s="15" t="s">
        <v>57</v>
      </c>
      <c r="B23" s="16" t="s">
        <v>62</v>
      </c>
      <c r="C23" s="17" t="s">
        <v>64</v>
      </c>
      <c r="D23" s="36">
        <v>3</v>
      </c>
      <c r="E23" s="19">
        <v>0</v>
      </c>
      <c r="F23" s="20">
        <v>0</v>
      </c>
      <c r="G23" s="20">
        <v>0</v>
      </c>
      <c r="H23" s="20">
        <v>0</v>
      </c>
      <c r="I23" s="20">
        <v>0</v>
      </c>
      <c r="J23" s="21">
        <f t="shared" si="4"/>
        <v>0</v>
      </c>
      <c r="K23" s="22">
        <v>0</v>
      </c>
      <c r="L23" s="23">
        <v>0</v>
      </c>
      <c r="M23" s="23">
        <v>0</v>
      </c>
      <c r="N23" s="23">
        <v>0</v>
      </c>
      <c r="O23" s="21">
        <f t="shared" si="7"/>
        <v>0</v>
      </c>
      <c r="P23" s="26">
        <f>3000000/4/1000000</f>
        <v>0.75</v>
      </c>
      <c r="Q23" s="26">
        <f>+P23</f>
        <v>0.75</v>
      </c>
      <c r="R23" s="26">
        <f>+P23</f>
        <v>0.75</v>
      </c>
      <c r="S23" s="26">
        <f>+P23</f>
        <v>0.75</v>
      </c>
      <c r="T23" s="25">
        <f t="shared" si="1"/>
        <v>3</v>
      </c>
      <c r="U23" s="24">
        <v>0</v>
      </c>
      <c r="V23" s="24">
        <v>0</v>
      </c>
      <c r="W23" s="24">
        <v>0</v>
      </c>
      <c r="X23" s="31">
        <v>0</v>
      </c>
      <c r="Y23" s="32">
        <f t="shared" si="6"/>
        <v>0</v>
      </c>
      <c r="Z23" s="29" t="s">
        <v>38</v>
      </c>
      <c r="AA23" s="23">
        <f t="shared" si="2"/>
        <v>1.5</v>
      </c>
      <c r="AB23" s="23">
        <f t="shared" si="8"/>
        <v>1.5</v>
      </c>
    </row>
    <row r="24" spans="1:28" ht="15.75" thickBot="1" x14ac:dyDescent="0.3">
      <c r="A24" s="15" t="s">
        <v>57</v>
      </c>
      <c r="B24" s="16" t="s">
        <v>62</v>
      </c>
      <c r="C24" s="37" t="s">
        <v>65</v>
      </c>
      <c r="D24" s="38">
        <v>0.8</v>
      </c>
      <c r="E24" s="19">
        <v>0</v>
      </c>
      <c r="F24" s="34">
        <f>28555.66/1000000</f>
        <v>2.855566E-2</v>
      </c>
      <c r="G24" s="20">
        <v>0</v>
      </c>
      <c r="H24" s="20">
        <v>0</v>
      </c>
      <c r="I24" s="20">
        <v>0</v>
      </c>
      <c r="J24" s="39">
        <f t="shared" si="4"/>
        <v>2.855566E-2</v>
      </c>
      <c r="K24" s="34">
        <v>0</v>
      </c>
      <c r="L24" s="23">
        <v>0</v>
      </c>
      <c r="M24" s="23">
        <v>0</v>
      </c>
      <c r="N24" s="23">
        <v>0</v>
      </c>
      <c r="O24" s="39">
        <f t="shared" si="7"/>
        <v>0</v>
      </c>
      <c r="P24" s="30">
        <f>800000/4/1000000</f>
        <v>0.2</v>
      </c>
      <c r="Q24" s="30">
        <f>+P24</f>
        <v>0.2</v>
      </c>
      <c r="R24" s="30">
        <f>+P24</f>
        <v>0.2</v>
      </c>
      <c r="S24" s="30">
        <f>+P24</f>
        <v>0.2</v>
      </c>
      <c r="T24" s="39">
        <f t="shared" si="1"/>
        <v>0.8</v>
      </c>
      <c r="U24" s="23">
        <v>0</v>
      </c>
      <c r="V24" s="23">
        <v>0</v>
      </c>
      <c r="W24" s="23">
        <v>0</v>
      </c>
      <c r="X24" s="40">
        <v>0</v>
      </c>
      <c r="Y24" s="32">
        <f t="shared" si="6"/>
        <v>0</v>
      </c>
      <c r="Z24" s="29" t="s">
        <v>38</v>
      </c>
      <c r="AA24" s="23">
        <f t="shared" si="2"/>
        <v>0.4</v>
      </c>
      <c r="AB24" s="23">
        <f t="shared" si="8"/>
        <v>0.4</v>
      </c>
    </row>
    <row r="25" spans="1:28" ht="30.75" thickBot="1" x14ac:dyDescent="0.3">
      <c r="A25" s="41" t="s">
        <v>66</v>
      </c>
      <c r="B25" s="16" t="s">
        <v>66</v>
      </c>
      <c r="C25" s="37" t="s">
        <v>67</v>
      </c>
      <c r="D25" s="38">
        <v>0.5</v>
      </c>
      <c r="E25" s="42">
        <v>0</v>
      </c>
      <c r="F25" s="43">
        <v>0</v>
      </c>
      <c r="G25" s="43">
        <v>0</v>
      </c>
      <c r="H25" s="43">
        <v>0</v>
      </c>
      <c r="I25" s="44">
        <f>1606.71/1000000</f>
        <v>1.6067100000000001E-3</v>
      </c>
      <c r="J25" s="39">
        <f t="shared" si="4"/>
        <v>1.6067100000000001E-3</v>
      </c>
      <c r="K25" s="44">
        <v>0</v>
      </c>
      <c r="L25" s="45">
        <f>125000/3/1000000</f>
        <v>4.1666666666666664E-2</v>
      </c>
      <c r="M25" s="45">
        <f>+L25</f>
        <v>4.1666666666666664E-2</v>
      </c>
      <c r="N25" s="45">
        <f>+M25</f>
        <v>4.1666666666666664E-2</v>
      </c>
      <c r="O25" s="46">
        <v>0.2</v>
      </c>
      <c r="P25" s="45">
        <f>125000/4/1000000</f>
        <v>3.125E-2</v>
      </c>
      <c r="Q25" s="45">
        <f>+P25</f>
        <v>3.125E-2</v>
      </c>
      <c r="R25" s="45">
        <f>+P25</f>
        <v>3.125E-2</v>
      </c>
      <c r="S25" s="45">
        <f>+P25</f>
        <v>3.125E-2</v>
      </c>
      <c r="T25" s="46">
        <v>0.2</v>
      </c>
      <c r="U25" s="45">
        <f>125000/4/1000000</f>
        <v>3.125E-2</v>
      </c>
      <c r="V25" s="45">
        <f>+U25</f>
        <v>3.125E-2</v>
      </c>
      <c r="W25" s="45">
        <f>+U25</f>
        <v>3.125E-2</v>
      </c>
      <c r="X25" s="47">
        <f>+U25</f>
        <v>3.125E-2</v>
      </c>
      <c r="Y25" s="48">
        <f t="shared" si="6"/>
        <v>0.125</v>
      </c>
      <c r="Z25" s="49" t="s">
        <v>38</v>
      </c>
      <c r="AA25" s="50">
        <f t="shared" si="2"/>
        <v>0.25</v>
      </c>
      <c r="AB25" s="50">
        <v>0.25</v>
      </c>
    </row>
    <row r="26" spans="1:28" ht="15.75" thickBot="1" x14ac:dyDescent="0.3">
      <c r="A26" s="51" t="s">
        <v>68</v>
      </c>
      <c r="B26" s="52"/>
      <c r="C26" s="53"/>
      <c r="D26" s="54">
        <f>+SUM(D5:D25)</f>
        <v>110.752</v>
      </c>
      <c r="E26" s="55">
        <f t="shared" ref="E26:Y26" si="13">+SUM(E5:E25)</f>
        <v>0</v>
      </c>
      <c r="F26" s="56">
        <f t="shared" si="13"/>
        <v>2.855566E-2</v>
      </c>
      <c r="G26" s="56">
        <f t="shared" si="13"/>
        <v>50.981635490000002</v>
      </c>
      <c r="H26" s="56">
        <f t="shared" si="13"/>
        <v>10.66233941</v>
      </c>
      <c r="I26" s="56">
        <f t="shared" si="13"/>
        <v>0.33536902999999996</v>
      </c>
      <c r="J26" s="57">
        <f t="shared" si="13"/>
        <v>62.007899590000001</v>
      </c>
      <c r="K26" s="56">
        <f t="shared" si="13"/>
        <v>0.95873947999999998</v>
      </c>
      <c r="L26" s="58">
        <f t="shared" si="13"/>
        <v>8.6445868399999988</v>
      </c>
      <c r="M26" s="58">
        <f t="shared" si="13"/>
        <v>8.6445868399999988</v>
      </c>
      <c r="N26" s="58">
        <f t="shared" si="13"/>
        <v>8.6445868399999988</v>
      </c>
      <c r="O26" s="57">
        <f t="shared" si="13"/>
        <v>27.217500000000005</v>
      </c>
      <c r="P26" s="58">
        <f t="shared" si="13"/>
        <v>3.5299085000000003</v>
      </c>
      <c r="Q26" s="58">
        <f t="shared" si="13"/>
        <v>3.5299085000000003</v>
      </c>
      <c r="R26" s="58">
        <f t="shared" si="13"/>
        <v>3.5299085000000003</v>
      </c>
      <c r="S26" s="58">
        <f t="shared" si="13"/>
        <v>3.5299085000000003</v>
      </c>
      <c r="T26" s="57">
        <f t="shared" si="13"/>
        <v>14.194634000000001</v>
      </c>
      <c r="U26" s="58">
        <f t="shared" si="13"/>
        <v>0.7569999999999999</v>
      </c>
      <c r="V26" s="58">
        <f t="shared" si="13"/>
        <v>0.7569999999999999</v>
      </c>
      <c r="W26" s="58">
        <f t="shared" si="13"/>
        <v>0.7569999999999999</v>
      </c>
      <c r="X26" s="59">
        <f t="shared" si="13"/>
        <v>0.7569999999999999</v>
      </c>
      <c r="Y26" s="28">
        <f t="shared" si="13"/>
        <v>3.0279999999999996</v>
      </c>
      <c r="Z26" s="60"/>
      <c r="AA26" s="58"/>
      <c r="AB26" s="61"/>
    </row>
    <row r="27" spans="1:28" ht="15.75" thickBot="1" x14ac:dyDescent="0.3">
      <c r="A27" s="51"/>
      <c r="B27" s="52"/>
      <c r="C27" s="53"/>
      <c r="D27" s="62"/>
      <c r="E27" s="63"/>
      <c r="F27" s="64"/>
      <c r="G27" s="64"/>
      <c r="H27" s="64"/>
      <c r="I27" s="64"/>
      <c r="J27" s="65"/>
      <c r="K27" s="64"/>
      <c r="L27" s="66"/>
      <c r="M27" s="66"/>
      <c r="N27" s="66"/>
      <c r="O27" s="57"/>
      <c r="P27" s="58"/>
      <c r="Q27" s="58"/>
      <c r="R27" s="58"/>
      <c r="S27" s="58"/>
      <c r="T27" s="57"/>
      <c r="U27" s="58"/>
      <c r="V27" s="58"/>
      <c r="W27" s="58"/>
      <c r="X27" s="59"/>
      <c r="Y27" s="28"/>
      <c r="Z27" s="60"/>
      <c r="AA27" s="58"/>
      <c r="AB27" s="61"/>
    </row>
    <row r="28" spans="1:28" ht="45.75" thickBot="1" x14ac:dyDescent="0.3">
      <c r="A28" s="51" t="s">
        <v>69</v>
      </c>
      <c r="B28" s="52"/>
      <c r="C28" s="53" t="s">
        <v>70</v>
      </c>
      <c r="D28" s="54">
        <f>AB28+AA28</f>
        <v>37.393585810450801</v>
      </c>
      <c r="E28" s="55">
        <v>0</v>
      </c>
      <c r="F28" s="56">
        <v>0</v>
      </c>
      <c r="G28" s="56">
        <v>0</v>
      </c>
      <c r="H28" s="56">
        <v>0</v>
      </c>
      <c r="I28" s="56">
        <v>0</v>
      </c>
      <c r="J28" s="57">
        <f t="shared" ref="J28" si="14">SUM(F28:I28)</f>
        <v>0</v>
      </c>
      <c r="K28" s="56">
        <v>0</v>
      </c>
      <c r="L28" s="58">
        <v>0</v>
      </c>
      <c r="M28" s="58">
        <v>0</v>
      </c>
      <c r="N28" s="58">
        <f>O28</f>
        <v>24.929057206967201</v>
      </c>
      <c r="O28" s="57">
        <f>D28*2/3</f>
        <v>24.929057206967201</v>
      </c>
      <c r="P28" s="58">
        <v>0</v>
      </c>
      <c r="Q28" s="58">
        <v>0</v>
      </c>
      <c r="R28" s="58">
        <f>S28</f>
        <v>12.4645286034836</v>
      </c>
      <c r="S28" s="58">
        <f>D28*1/3</f>
        <v>12.4645286034836</v>
      </c>
      <c r="T28" s="57">
        <f>SUM(P28:S28)</f>
        <v>24.929057206967201</v>
      </c>
      <c r="U28" s="58">
        <v>0</v>
      </c>
      <c r="V28" s="58">
        <v>0</v>
      </c>
      <c r="W28" s="58">
        <v>0</v>
      </c>
      <c r="X28" s="59">
        <v>0</v>
      </c>
      <c r="Y28" s="28">
        <f t="shared" si="6"/>
        <v>0</v>
      </c>
      <c r="Z28" s="60" t="s">
        <v>38</v>
      </c>
      <c r="AA28" s="58">
        <f>AB28</f>
        <v>18.696792905225401</v>
      </c>
      <c r="AB28" s="61">
        <v>18.696792905225401</v>
      </c>
    </row>
    <row r="29" spans="1:28" ht="15.75" thickBot="1" x14ac:dyDescent="0.3">
      <c r="A29" s="67"/>
      <c r="B29" s="68"/>
      <c r="C29" s="69" t="s">
        <v>71</v>
      </c>
      <c r="D29" s="70">
        <f t="shared" ref="D29:Y29" si="15">+D28+D26</f>
        <v>148.1455858104508</v>
      </c>
      <c r="E29" s="70">
        <f t="shared" si="15"/>
        <v>0</v>
      </c>
      <c r="F29" s="70">
        <f t="shared" si="15"/>
        <v>2.855566E-2</v>
      </c>
      <c r="G29" s="70">
        <f t="shared" si="15"/>
        <v>50.981635490000002</v>
      </c>
      <c r="H29" s="70">
        <f t="shared" si="15"/>
        <v>10.66233941</v>
      </c>
      <c r="I29" s="70">
        <f t="shared" si="15"/>
        <v>0.33536902999999996</v>
      </c>
      <c r="J29" s="70">
        <f t="shared" si="15"/>
        <v>62.007899590000001</v>
      </c>
      <c r="K29" s="70">
        <f t="shared" si="15"/>
        <v>0.95873947999999998</v>
      </c>
      <c r="L29" s="70">
        <f t="shared" si="15"/>
        <v>8.6445868399999988</v>
      </c>
      <c r="M29" s="70">
        <f t="shared" si="15"/>
        <v>8.6445868399999988</v>
      </c>
      <c r="N29" s="70">
        <f t="shared" si="15"/>
        <v>33.573644046967203</v>
      </c>
      <c r="O29" s="70">
        <f t="shared" si="15"/>
        <v>52.146557206967202</v>
      </c>
      <c r="P29" s="70">
        <f t="shared" si="15"/>
        <v>3.5299085000000003</v>
      </c>
      <c r="Q29" s="70">
        <f t="shared" si="15"/>
        <v>3.5299085000000003</v>
      </c>
      <c r="R29" s="70">
        <f t="shared" si="15"/>
        <v>15.994437103483602</v>
      </c>
      <c r="S29" s="70">
        <f t="shared" si="15"/>
        <v>15.994437103483602</v>
      </c>
      <c r="T29" s="70">
        <f t="shared" si="15"/>
        <v>39.123691206967202</v>
      </c>
      <c r="U29" s="70">
        <f t="shared" si="15"/>
        <v>0.7569999999999999</v>
      </c>
      <c r="V29" s="70">
        <f t="shared" si="15"/>
        <v>0.7569999999999999</v>
      </c>
      <c r="W29" s="70">
        <f t="shared" si="15"/>
        <v>0.7569999999999999</v>
      </c>
      <c r="X29" s="70">
        <f t="shared" si="15"/>
        <v>0.7569999999999999</v>
      </c>
      <c r="Y29" s="70">
        <f t="shared" si="15"/>
        <v>3.0279999999999996</v>
      </c>
      <c r="Z29" s="71" t="s">
        <v>72</v>
      </c>
      <c r="AA29" s="72">
        <f>SUM(AA5:AA28)</f>
        <v>76.279827359050742</v>
      </c>
      <c r="AB29" s="73">
        <f>SUM(AB5:AB28)</f>
        <v>71.865758451400069</v>
      </c>
    </row>
    <row r="30" spans="1:28" x14ac:dyDescent="0.25">
      <c r="C30" s="74"/>
    </row>
    <row r="31" spans="1:28" x14ac:dyDescent="0.25">
      <c r="A31" s="75" t="s">
        <v>35</v>
      </c>
      <c r="C31" s="76"/>
      <c r="D31" s="76"/>
      <c r="E31" s="76"/>
      <c r="F31" s="76"/>
      <c r="G31" s="76"/>
      <c r="H31" s="76"/>
      <c r="I31" s="76"/>
      <c r="J31" s="77">
        <f>+SUMIF($Z$5:$Z$28,$A31,J$5:J$28)</f>
        <v>50.981635490000002</v>
      </c>
      <c r="K31" s="76"/>
      <c r="L31" s="76"/>
      <c r="M31" s="76"/>
      <c r="N31" s="76"/>
      <c r="O31" s="77">
        <f>+SUMIF($Z$5:$Z$28,$A31,O$5:O$28)</f>
        <v>2.8016079999999999</v>
      </c>
      <c r="P31" s="76"/>
      <c r="Q31" s="76"/>
      <c r="R31" s="76"/>
      <c r="S31" s="76"/>
      <c r="T31" s="76"/>
      <c r="U31" s="76"/>
      <c r="V31" s="76"/>
      <c r="W31" s="76"/>
      <c r="X31" s="76"/>
      <c r="Y31" s="77">
        <f>+SUMIF($Z$5:$Z$28,$A31,Y$5:Y$28)</f>
        <v>1.6</v>
      </c>
      <c r="Z31" s="76"/>
      <c r="AA31" s="77">
        <f>+SUMIF($Z$5:$Z$28,$A31,AA$5:AA$28)</f>
        <v>35.307034453825338</v>
      </c>
      <c r="AB31" s="77">
        <f>+SUMIF($Z$5:$Z$28,$A31,AB$5:AB$28)</f>
        <v>30.892965546174665</v>
      </c>
    </row>
    <row r="32" spans="1:28" x14ac:dyDescent="0.25">
      <c r="A32" s="75" t="s">
        <v>38</v>
      </c>
      <c r="C32" s="76"/>
      <c r="D32" s="76"/>
      <c r="E32" s="76"/>
      <c r="F32" s="76"/>
      <c r="G32" s="76"/>
      <c r="H32" s="76"/>
      <c r="I32" s="76"/>
      <c r="J32" s="77">
        <f>+SUMIF($Z$5:$Z$28,$A32,J$5:J$28)</f>
        <v>11.026264100000001</v>
      </c>
      <c r="K32" s="76"/>
      <c r="L32" s="76"/>
      <c r="M32" s="76"/>
      <c r="N32" s="76"/>
      <c r="O32" s="77">
        <f>+SUMIF($Z$5:$Z$28,$A32,O$5:O$28)</f>
        <v>49.3449492069672</v>
      </c>
      <c r="P32" s="76"/>
      <c r="Q32" s="76"/>
      <c r="R32" s="76"/>
      <c r="S32" s="76"/>
      <c r="T32" s="76"/>
      <c r="U32" s="76"/>
      <c r="V32" s="76"/>
      <c r="W32" s="76"/>
      <c r="X32" s="76"/>
      <c r="Y32" s="77">
        <f>+SUMIF($Z$5:$Z$28,$A32,Y$5:Y$28)</f>
        <v>1.4280000000000002</v>
      </c>
      <c r="Z32" s="76"/>
      <c r="AA32" s="77">
        <f>+SUMIF($Z$5:$Z$28,$A32,AA$5:AA$28)</f>
        <v>40.972792905225404</v>
      </c>
      <c r="AB32" s="77">
        <f>+SUMIF($Z$5:$Z$28,$A32,AB$5:AB$28)</f>
        <v>40.972792905225404</v>
      </c>
    </row>
    <row r="33" spans="10:10" x14ac:dyDescent="0.25">
      <c r="J33" s="78"/>
    </row>
    <row r="35" spans="10:10" x14ac:dyDescent="0.25">
      <c r="J35" s="76"/>
    </row>
    <row r="36" spans="10:10" x14ac:dyDescent="0.25">
      <c r="J36" s="79"/>
    </row>
  </sheetData>
  <mergeCells count="1">
    <mergeCell ref="E3:K3"/>
  </mergeCells>
  <pageMargins left="0.25" right="0.25" top="0.25" bottom="0.25" header="0" footer="0"/>
  <pageSetup paperSize="5" scale="78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CB6D-7A7E-49E8-A5D8-DCA95615ADAE}">
  <dimension ref="A1:AD30"/>
  <sheetViews>
    <sheetView zoomScale="90" zoomScaleNormal="90" workbookViewId="0">
      <pane ySplit="4" topLeftCell="A5" activePane="bottomLeft" state="frozen"/>
      <selection activeCell="F4" sqref="F4"/>
      <selection pane="bottomLeft" activeCell="F4" sqref="F4"/>
    </sheetView>
  </sheetViews>
  <sheetFormatPr defaultColWidth="9.140625" defaultRowHeight="15" outlineLevelCol="1" x14ac:dyDescent="0.25"/>
  <cols>
    <col min="1" max="1" width="24" bestFit="1" customWidth="1"/>
    <col min="2" max="2" width="33" customWidth="1"/>
    <col min="3" max="3" width="65.85546875" customWidth="1"/>
    <col min="4" max="4" width="9.5703125" style="81" customWidth="1"/>
    <col min="5" max="5" width="11.7109375" customWidth="1"/>
    <col min="6" max="6" width="14.28515625" customWidth="1"/>
    <col min="7" max="7" width="14.28515625" customWidth="1" outlineLevel="1"/>
    <col min="8" max="10" width="11.7109375" customWidth="1" outlineLevel="1"/>
    <col min="11" max="11" width="9.5703125" bestFit="1" customWidth="1"/>
    <col min="12" max="14" width="9.140625" customWidth="1" outlineLevel="1"/>
    <col min="15" max="15" width="10.7109375" customWidth="1" outlineLevel="1"/>
    <col min="16" max="16" width="12.5703125" bestFit="1" customWidth="1"/>
    <col min="17" max="17" width="10.7109375" customWidth="1" outlineLevel="1"/>
    <col min="18" max="18" width="11.140625" customWidth="1" outlineLevel="1"/>
    <col min="19" max="19" width="10.7109375" customWidth="1" outlineLevel="1"/>
    <col min="20" max="20" width="11" customWidth="1"/>
    <col min="21" max="21" width="12.140625" customWidth="1"/>
    <col min="22" max="22" width="10.28515625" customWidth="1"/>
    <col min="23" max="24" width="10.85546875" customWidth="1"/>
    <col min="25" max="25" width="12.140625" customWidth="1"/>
    <col min="26" max="28" width="21.7109375" customWidth="1"/>
  </cols>
  <sheetData>
    <row r="1" spans="1:30" x14ac:dyDescent="0.25">
      <c r="A1" s="80" t="s">
        <v>111</v>
      </c>
    </row>
    <row r="2" spans="1:30" s="5" customFormat="1" x14ac:dyDescent="0.25">
      <c r="C2" s="6" t="s">
        <v>3</v>
      </c>
      <c r="D2" s="82"/>
      <c r="E2" s="7"/>
      <c r="F2" s="8"/>
      <c r="G2" s="9">
        <f>0.5409+0.062</f>
        <v>0.60289999999999999</v>
      </c>
      <c r="H2" s="9">
        <v>0.61080000000000001</v>
      </c>
      <c r="I2" s="9">
        <v>0.61080000000000001</v>
      </c>
      <c r="J2" s="9">
        <v>0.61080000000000001</v>
      </c>
      <c r="K2" s="9">
        <f>ROUND(AVERAGE(G2:J2),4)</f>
        <v>0.60880000000000001</v>
      </c>
      <c r="L2" s="83">
        <v>0.61080000000000001</v>
      </c>
      <c r="M2" s="9">
        <v>0.53959999999999997</v>
      </c>
      <c r="N2" s="9">
        <v>0.53959999999999997</v>
      </c>
      <c r="O2" s="9">
        <v>0.53959999999999997</v>
      </c>
      <c r="P2" s="9">
        <f>ROUND(AVERAGE(L2:O2),4)</f>
        <v>0.55740000000000001</v>
      </c>
      <c r="Q2" s="9">
        <v>0.53959999999999997</v>
      </c>
      <c r="R2" s="9">
        <v>0.53959999999999997</v>
      </c>
      <c r="S2" s="9">
        <v>0.53959999999999997</v>
      </c>
      <c r="T2" s="9">
        <v>0.53959999999999997</v>
      </c>
      <c r="U2" s="9"/>
      <c r="V2" s="9">
        <v>0.53959999999999997</v>
      </c>
      <c r="W2" s="9">
        <v>0.53959999999999997</v>
      </c>
      <c r="X2" s="9">
        <v>0.53959999999999997</v>
      </c>
      <c r="Y2" s="9"/>
    </row>
    <row r="3" spans="1:30" x14ac:dyDescent="0.25">
      <c r="F3" s="377" t="s">
        <v>103</v>
      </c>
      <c r="G3" s="378"/>
      <c r="H3" s="378"/>
      <c r="I3" s="378"/>
      <c r="J3" s="378"/>
      <c r="K3" s="378"/>
      <c r="L3" s="11" t="s">
        <v>7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30" ht="60.75" thickBot="1" x14ac:dyDescent="0.3">
      <c r="A4" s="12" t="s">
        <v>8</v>
      </c>
      <c r="B4" s="12" t="s">
        <v>9</v>
      </c>
      <c r="C4" s="12" t="s">
        <v>10</v>
      </c>
      <c r="D4" s="12" t="s">
        <v>112</v>
      </c>
      <c r="E4" s="12" t="s">
        <v>11</v>
      </c>
      <c r="F4" s="12" t="s">
        <v>12</v>
      </c>
      <c r="G4" s="12" t="s">
        <v>104</v>
      </c>
      <c r="H4" s="12" t="s">
        <v>105</v>
      </c>
      <c r="I4" s="12" t="s">
        <v>106</v>
      </c>
      <c r="J4" s="12" t="s">
        <v>113</v>
      </c>
      <c r="K4" s="13" t="s">
        <v>13</v>
      </c>
      <c r="L4" s="12" t="s">
        <v>108</v>
      </c>
      <c r="M4" s="12" t="s">
        <v>15</v>
      </c>
      <c r="N4" s="12" t="s">
        <v>16</v>
      </c>
      <c r="O4" s="12" t="s">
        <v>17</v>
      </c>
      <c r="P4" s="13" t="s">
        <v>114</v>
      </c>
      <c r="Q4" s="12" t="s">
        <v>115</v>
      </c>
      <c r="R4" s="12" t="s">
        <v>20</v>
      </c>
      <c r="S4" s="12" t="s">
        <v>21</v>
      </c>
      <c r="T4" s="12" t="s">
        <v>110</v>
      </c>
      <c r="U4" s="12" t="s">
        <v>23</v>
      </c>
      <c r="V4" s="12" t="s">
        <v>24</v>
      </c>
      <c r="W4" s="12" t="s">
        <v>25</v>
      </c>
      <c r="X4" s="12" t="s">
        <v>26</v>
      </c>
      <c r="Y4" s="14" t="s">
        <v>28</v>
      </c>
      <c r="Z4" s="12" t="s">
        <v>29</v>
      </c>
      <c r="AA4" s="12" t="s">
        <v>30</v>
      </c>
      <c r="AB4" s="12" t="s">
        <v>31</v>
      </c>
    </row>
    <row r="5" spans="1:30" x14ac:dyDescent="0.25">
      <c r="A5" s="84" t="s">
        <v>49</v>
      </c>
      <c r="B5" s="85" t="s">
        <v>43</v>
      </c>
      <c r="C5" s="86" t="s">
        <v>50</v>
      </c>
      <c r="D5" s="87" t="s">
        <v>116</v>
      </c>
      <c r="E5" s="35">
        <v>4.7</v>
      </c>
      <c r="F5" s="88">
        <v>0</v>
      </c>
      <c r="G5" s="89">
        <v>0</v>
      </c>
      <c r="H5" s="89">
        <v>0</v>
      </c>
      <c r="I5" s="89">
        <v>0</v>
      </c>
      <c r="J5" s="89">
        <v>1</v>
      </c>
      <c r="K5" s="90">
        <f t="shared" ref="K5:K26" si="0">SUM(G5:J5)</f>
        <v>1</v>
      </c>
      <c r="L5" s="91">
        <v>3.7</v>
      </c>
      <c r="M5" s="92">
        <v>0</v>
      </c>
      <c r="N5" s="92">
        <v>0</v>
      </c>
      <c r="O5" s="92">
        <v>0</v>
      </c>
      <c r="P5" s="93">
        <f t="shared" ref="P5:P24" si="1">SUM(L5:O5)</f>
        <v>3.7</v>
      </c>
      <c r="Q5" s="29">
        <v>0</v>
      </c>
      <c r="R5" s="94">
        <v>0</v>
      </c>
      <c r="S5" s="94">
        <v>0</v>
      </c>
      <c r="T5" s="95">
        <v>0</v>
      </c>
      <c r="U5" s="96">
        <f>SUM(Q5:T5)</f>
        <v>0</v>
      </c>
      <c r="V5" s="97">
        <v>0</v>
      </c>
      <c r="W5" s="97">
        <v>0</v>
      </c>
      <c r="X5" s="97">
        <v>0</v>
      </c>
      <c r="Y5" s="98">
        <f>SUM(V5:X5)</f>
        <v>0</v>
      </c>
      <c r="Z5" s="29" t="s">
        <v>38</v>
      </c>
      <c r="AA5" s="23">
        <f>IF(Z5="BENEFITS",$F$2*F5+SUMPRODUCT($G$2:$J$2,G5:J5)+SUMPRODUCT($L$2:$O$2,L5:O5)+SUMPRODUCT($Q$2:$T$2,Q5:T5)+SUMPRODUCT($V$2:$X$2,V5:X5), IF(Z5="ADMIN",E5*0.5,"DETERMINE MATCH"))</f>
        <v>2.35</v>
      </c>
      <c r="AB5" s="23">
        <f>E5-AA5</f>
        <v>2.35</v>
      </c>
    </row>
    <row r="6" spans="1:30" x14ac:dyDescent="0.25">
      <c r="A6" s="99" t="s">
        <v>49</v>
      </c>
      <c r="B6" s="16" t="s">
        <v>43</v>
      </c>
      <c r="C6" s="17" t="s">
        <v>51</v>
      </c>
      <c r="D6" s="100">
        <v>12</v>
      </c>
      <c r="E6" s="101">
        <v>0.6</v>
      </c>
      <c r="F6" s="88">
        <v>0</v>
      </c>
      <c r="G6" s="89">
        <v>0</v>
      </c>
      <c r="H6" s="89">
        <v>0</v>
      </c>
      <c r="I6" s="89">
        <v>0</v>
      </c>
      <c r="J6" s="89">
        <v>0.3</v>
      </c>
      <c r="K6" s="90">
        <v>0</v>
      </c>
      <c r="L6" s="102">
        <v>0.3</v>
      </c>
      <c r="M6" s="94">
        <v>0.3</v>
      </c>
      <c r="N6" s="94">
        <v>0</v>
      </c>
      <c r="O6" s="94">
        <v>0</v>
      </c>
      <c r="P6" s="90">
        <f t="shared" si="1"/>
        <v>0.6</v>
      </c>
      <c r="Q6" s="29">
        <v>0</v>
      </c>
      <c r="R6" s="94">
        <v>0</v>
      </c>
      <c r="S6" s="94">
        <v>0</v>
      </c>
      <c r="T6" s="103">
        <v>0</v>
      </c>
      <c r="U6" s="104">
        <f t="shared" ref="U6:U23" si="2">SUM(Q6:T6)</f>
        <v>0</v>
      </c>
      <c r="V6" s="105">
        <v>0</v>
      </c>
      <c r="W6" s="105">
        <v>0</v>
      </c>
      <c r="X6" s="105">
        <v>0</v>
      </c>
      <c r="Y6" s="106">
        <f>SUM(V6:X6)</f>
        <v>0</v>
      </c>
      <c r="Z6" s="29" t="s">
        <v>38</v>
      </c>
      <c r="AA6" s="23">
        <f t="shared" ref="AA6:AA25" si="3">IF(Z6="BENEFITS",$F$2*F6+SUMPRODUCT($G$2:$J$2,G6:J6)+SUMPRODUCT($L$2:$O$2,L6:O6)+SUMPRODUCT($Q$2:$T$2,Q6:T6)+SUMPRODUCT($V$2:$X$2,V6:X6), IF(Z6="ADMIN",E6*0.5,"DETERMINE MATCH"))</f>
        <v>0.3</v>
      </c>
      <c r="AB6" s="23">
        <f t="shared" ref="AB6:AB24" si="4">E6-AA6</f>
        <v>0.3</v>
      </c>
    </row>
    <row r="7" spans="1:30" x14ac:dyDescent="0.25">
      <c r="A7" s="99" t="s">
        <v>49</v>
      </c>
      <c r="B7" s="107" t="s">
        <v>43</v>
      </c>
      <c r="C7" s="17" t="s">
        <v>52</v>
      </c>
      <c r="D7" s="100">
        <v>13</v>
      </c>
      <c r="E7" s="108">
        <v>0.5</v>
      </c>
      <c r="F7" s="88">
        <v>0</v>
      </c>
      <c r="G7" s="109">
        <v>0</v>
      </c>
      <c r="H7" s="109">
        <v>0</v>
      </c>
      <c r="I7" s="109">
        <v>0</v>
      </c>
      <c r="J7" s="109">
        <v>0</v>
      </c>
      <c r="K7" s="110">
        <f t="shared" si="0"/>
        <v>0</v>
      </c>
      <c r="L7" s="102">
        <v>0.5</v>
      </c>
      <c r="M7" s="94">
        <v>0</v>
      </c>
      <c r="N7" s="94">
        <v>0</v>
      </c>
      <c r="O7" s="94">
        <v>0</v>
      </c>
      <c r="P7" s="90">
        <f t="shared" si="1"/>
        <v>0.5</v>
      </c>
      <c r="Q7" s="29">
        <v>0</v>
      </c>
      <c r="R7" s="94">
        <v>0</v>
      </c>
      <c r="S7" s="94">
        <v>0</v>
      </c>
      <c r="T7" s="103">
        <v>0</v>
      </c>
      <c r="U7" s="104">
        <f t="shared" si="2"/>
        <v>0</v>
      </c>
      <c r="V7" s="105">
        <v>0</v>
      </c>
      <c r="W7" s="105">
        <v>0</v>
      </c>
      <c r="X7" s="105">
        <v>0</v>
      </c>
      <c r="Y7" s="106">
        <f t="shared" ref="Y7:Y8" si="5">SUM(V7:X7)</f>
        <v>0</v>
      </c>
      <c r="Z7" s="29" t="s">
        <v>38</v>
      </c>
      <c r="AA7" s="23">
        <f t="shared" si="3"/>
        <v>0.25</v>
      </c>
      <c r="AB7" s="23">
        <f t="shared" si="4"/>
        <v>0.25</v>
      </c>
    </row>
    <row r="8" spans="1:30" ht="15.75" thickBot="1" x14ac:dyDescent="0.3">
      <c r="A8" s="111" t="s">
        <v>49</v>
      </c>
      <c r="B8" s="112" t="s">
        <v>53</v>
      </c>
      <c r="C8" s="113" t="s">
        <v>54</v>
      </c>
      <c r="D8" s="114">
        <v>51</v>
      </c>
      <c r="E8" s="115">
        <v>1.6</v>
      </c>
      <c r="F8" s="116">
        <v>0</v>
      </c>
      <c r="G8" s="117">
        <v>0</v>
      </c>
      <c r="H8" s="117">
        <v>0</v>
      </c>
      <c r="I8" s="117">
        <v>0</v>
      </c>
      <c r="J8" s="117">
        <v>0</v>
      </c>
      <c r="K8" s="118">
        <f t="shared" si="0"/>
        <v>0</v>
      </c>
      <c r="L8" s="119">
        <v>1.6</v>
      </c>
      <c r="M8" s="120">
        <v>0</v>
      </c>
      <c r="N8" s="120">
        <v>0</v>
      </c>
      <c r="O8" s="120">
        <v>0</v>
      </c>
      <c r="P8" s="118">
        <f t="shared" si="1"/>
        <v>1.6</v>
      </c>
      <c r="Q8" s="121">
        <v>0</v>
      </c>
      <c r="R8" s="120">
        <v>0</v>
      </c>
      <c r="S8" s="120">
        <v>0</v>
      </c>
      <c r="T8" s="122">
        <v>0</v>
      </c>
      <c r="U8" s="123">
        <f t="shared" si="2"/>
        <v>0</v>
      </c>
      <c r="V8" s="124">
        <v>0</v>
      </c>
      <c r="W8" s="124">
        <v>0</v>
      </c>
      <c r="X8" s="124">
        <v>0</v>
      </c>
      <c r="Y8" s="106">
        <f t="shared" si="5"/>
        <v>0</v>
      </c>
      <c r="Z8" s="121" t="s">
        <v>38</v>
      </c>
      <c r="AA8" s="50">
        <f t="shared" si="3"/>
        <v>0.8</v>
      </c>
      <c r="AB8" s="125">
        <f t="shared" si="4"/>
        <v>0.8</v>
      </c>
    </row>
    <row r="9" spans="1:30" x14ac:dyDescent="0.25">
      <c r="A9" s="99" t="s">
        <v>57</v>
      </c>
      <c r="B9" s="126" t="s">
        <v>58</v>
      </c>
      <c r="C9" s="17" t="s">
        <v>59</v>
      </c>
      <c r="D9" s="100" t="s">
        <v>117</v>
      </c>
      <c r="E9" s="127">
        <v>58.1</v>
      </c>
      <c r="F9" s="128">
        <v>0</v>
      </c>
      <c r="G9" s="129">
        <v>0</v>
      </c>
      <c r="H9" s="89">
        <v>0</v>
      </c>
      <c r="I9" s="89">
        <v>29.05</v>
      </c>
      <c r="J9" s="129">
        <v>29.05</v>
      </c>
      <c r="K9" s="130">
        <f t="shared" si="0"/>
        <v>58.1</v>
      </c>
      <c r="L9" s="102">
        <v>0</v>
      </c>
      <c r="M9" s="94">
        <v>0</v>
      </c>
      <c r="N9" s="94">
        <v>0</v>
      </c>
      <c r="O9" s="94">
        <v>0</v>
      </c>
      <c r="P9" s="130">
        <f t="shared" si="1"/>
        <v>0</v>
      </c>
      <c r="Q9" s="29">
        <v>0</v>
      </c>
      <c r="R9" s="94">
        <v>0</v>
      </c>
      <c r="S9" s="94">
        <v>0</v>
      </c>
      <c r="T9" s="131">
        <v>0</v>
      </c>
      <c r="U9" s="96">
        <f t="shared" si="2"/>
        <v>0</v>
      </c>
      <c r="V9" s="97">
        <v>0</v>
      </c>
      <c r="W9" s="97">
        <v>0</v>
      </c>
      <c r="X9" s="97">
        <v>0</v>
      </c>
      <c r="Y9" s="132">
        <f>SUM(V9:X9)</f>
        <v>0</v>
      </c>
      <c r="Z9" s="133" t="s">
        <v>35</v>
      </c>
      <c r="AA9" s="58">
        <f t="shared" si="3"/>
        <v>35.487479999999998</v>
      </c>
      <c r="AB9" s="134">
        <f>E9-AA9</f>
        <v>22.612520000000004</v>
      </c>
    </row>
    <row r="10" spans="1:30" ht="30" x14ac:dyDescent="0.25">
      <c r="A10" s="135" t="s">
        <v>57</v>
      </c>
      <c r="B10" s="136" t="s">
        <v>58</v>
      </c>
      <c r="C10" s="137" t="s">
        <v>60</v>
      </c>
      <c r="D10" s="100" t="s">
        <v>117</v>
      </c>
      <c r="E10" s="127">
        <v>5.9</v>
      </c>
      <c r="F10" s="88">
        <v>0</v>
      </c>
      <c r="G10" s="89">
        <v>0</v>
      </c>
      <c r="H10" s="129">
        <v>0</v>
      </c>
      <c r="I10" s="129">
        <v>5.9</v>
      </c>
      <c r="J10" s="129">
        <v>0</v>
      </c>
      <c r="K10" s="90">
        <f t="shared" si="0"/>
        <v>5.9</v>
      </c>
      <c r="L10" s="138">
        <v>0</v>
      </c>
      <c r="M10" s="139">
        <v>0</v>
      </c>
      <c r="N10" s="139">
        <v>0</v>
      </c>
      <c r="O10" s="139">
        <v>0</v>
      </c>
      <c r="P10" s="90">
        <f t="shared" si="1"/>
        <v>0</v>
      </c>
      <c r="Q10" s="133">
        <v>0</v>
      </c>
      <c r="R10" s="139">
        <v>0</v>
      </c>
      <c r="S10" s="139">
        <v>0</v>
      </c>
      <c r="T10" s="103">
        <v>0</v>
      </c>
      <c r="U10" s="104">
        <f t="shared" si="2"/>
        <v>0</v>
      </c>
      <c r="V10" s="140">
        <v>0</v>
      </c>
      <c r="W10" s="140">
        <v>0</v>
      </c>
      <c r="X10" s="140">
        <v>0</v>
      </c>
      <c r="Y10" s="141">
        <f t="shared" ref="Y10:Y24" si="6">SUM(V10:X10)</f>
        <v>0</v>
      </c>
      <c r="Z10" s="142" t="s">
        <v>38</v>
      </c>
      <c r="AA10" s="23">
        <f t="shared" si="3"/>
        <v>2.95</v>
      </c>
      <c r="AB10" s="23">
        <f t="shared" si="4"/>
        <v>2.95</v>
      </c>
    </row>
    <row r="11" spans="1:30" x14ac:dyDescent="0.25">
      <c r="A11" s="143" t="s">
        <v>57</v>
      </c>
      <c r="B11" s="136" t="s">
        <v>58</v>
      </c>
      <c r="C11" s="17" t="s">
        <v>61</v>
      </c>
      <c r="D11" s="100">
        <v>19</v>
      </c>
      <c r="E11" s="127">
        <v>1.2</v>
      </c>
      <c r="F11" s="88">
        <v>0</v>
      </c>
      <c r="G11" s="89">
        <v>0.1</v>
      </c>
      <c r="H11" s="89">
        <v>0.4</v>
      </c>
      <c r="I11" s="89">
        <v>0.3</v>
      </c>
      <c r="J11" s="89">
        <v>0.2</v>
      </c>
      <c r="K11" s="90">
        <f t="shared" si="0"/>
        <v>1</v>
      </c>
      <c r="L11" s="102">
        <v>0.2</v>
      </c>
      <c r="M11" s="94">
        <v>0</v>
      </c>
      <c r="N11" s="94">
        <v>0</v>
      </c>
      <c r="O11" s="94">
        <v>0</v>
      </c>
      <c r="P11" s="90">
        <f t="shared" si="1"/>
        <v>0.2</v>
      </c>
      <c r="Q11" s="29">
        <v>0</v>
      </c>
      <c r="R11" s="94">
        <v>0</v>
      </c>
      <c r="S11" s="94">
        <v>0</v>
      </c>
      <c r="T11" s="103">
        <v>0</v>
      </c>
      <c r="U11" s="104">
        <f t="shared" si="2"/>
        <v>0</v>
      </c>
      <c r="V11" s="105">
        <v>0</v>
      </c>
      <c r="W11" s="105">
        <v>0</v>
      </c>
      <c r="X11" s="105">
        <v>0</v>
      </c>
      <c r="Y11" s="144">
        <f t="shared" si="6"/>
        <v>0</v>
      </c>
      <c r="Z11" s="29" t="s">
        <v>38</v>
      </c>
      <c r="AA11" s="23">
        <f t="shared" si="3"/>
        <v>0.6</v>
      </c>
      <c r="AB11" s="23">
        <f t="shared" si="4"/>
        <v>0.6</v>
      </c>
      <c r="AD11" s="145"/>
    </row>
    <row r="12" spans="1:30" x14ac:dyDescent="0.25">
      <c r="A12" s="146" t="s">
        <v>57</v>
      </c>
      <c r="B12" s="147" t="s">
        <v>62</v>
      </c>
      <c r="C12" s="148" t="s">
        <v>65</v>
      </c>
      <c r="D12" s="100">
        <v>19</v>
      </c>
      <c r="E12" s="127">
        <v>0.8</v>
      </c>
      <c r="F12" s="88">
        <v>0</v>
      </c>
      <c r="G12" s="89">
        <v>0</v>
      </c>
      <c r="H12" s="89">
        <v>0</v>
      </c>
      <c r="I12" s="89">
        <v>0</v>
      </c>
      <c r="J12" s="89">
        <v>0</v>
      </c>
      <c r="K12" s="90">
        <f t="shared" si="0"/>
        <v>0</v>
      </c>
      <c r="L12" s="102">
        <v>0.8</v>
      </c>
      <c r="M12" s="94">
        <v>0</v>
      </c>
      <c r="N12" s="94">
        <v>0</v>
      </c>
      <c r="O12" s="94">
        <v>0</v>
      </c>
      <c r="P12" s="149">
        <f t="shared" si="1"/>
        <v>0.8</v>
      </c>
      <c r="Q12" s="29">
        <v>0</v>
      </c>
      <c r="R12" s="94">
        <v>0</v>
      </c>
      <c r="S12" s="94">
        <v>0</v>
      </c>
      <c r="T12" s="103">
        <v>0</v>
      </c>
      <c r="U12" s="104">
        <f t="shared" si="2"/>
        <v>0</v>
      </c>
      <c r="V12" s="105">
        <v>0</v>
      </c>
      <c r="W12" s="105">
        <v>0</v>
      </c>
      <c r="X12" s="105">
        <v>0</v>
      </c>
      <c r="Y12" s="150">
        <f t="shared" si="6"/>
        <v>0</v>
      </c>
      <c r="Z12" s="29" t="s">
        <v>38</v>
      </c>
      <c r="AA12" s="23">
        <f t="shared" si="3"/>
        <v>0.4</v>
      </c>
      <c r="AB12" s="23">
        <f t="shared" si="4"/>
        <v>0.4</v>
      </c>
    </row>
    <row r="13" spans="1:30" x14ac:dyDescent="0.25">
      <c r="A13" s="143" t="s">
        <v>57</v>
      </c>
      <c r="B13" s="151" t="s">
        <v>62</v>
      </c>
      <c r="C13" s="137" t="s">
        <v>63</v>
      </c>
      <c r="D13" s="152">
        <v>22</v>
      </c>
      <c r="E13" s="127">
        <v>3</v>
      </c>
      <c r="F13" s="128">
        <v>0</v>
      </c>
      <c r="G13" s="129">
        <v>0</v>
      </c>
      <c r="H13" s="129">
        <v>0</v>
      </c>
      <c r="I13" s="129">
        <v>0</v>
      </c>
      <c r="J13" s="129">
        <v>0.2</v>
      </c>
      <c r="K13" s="90">
        <f t="shared" si="0"/>
        <v>0.2</v>
      </c>
      <c r="L13" s="138">
        <v>1.8</v>
      </c>
      <c r="M13" s="139">
        <v>0</v>
      </c>
      <c r="N13" s="139">
        <v>0</v>
      </c>
      <c r="O13" s="139">
        <v>0</v>
      </c>
      <c r="P13" s="149">
        <f t="shared" si="1"/>
        <v>1.8</v>
      </c>
      <c r="Q13" s="133">
        <v>0</v>
      </c>
      <c r="R13" s="139">
        <v>0</v>
      </c>
      <c r="S13" s="139">
        <v>1</v>
      </c>
      <c r="T13" s="95">
        <f t="shared" ref="T13" si="7">SUM(Q13:S13)</f>
        <v>1</v>
      </c>
      <c r="U13" s="104">
        <f t="shared" si="2"/>
        <v>2</v>
      </c>
      <c r="V13" s="153">
        <v>0</v>
      </c>
      <c r="W13" s="153">
        <v>0</v>
      </c>
      <c r="X13" s="153">
        <v>0</v>
      </c>
      <c r="Y13" s="150">
        <f t="shared" si="6"/>
        <v>0</v>
      </c>
      <c r="Z13" s="133" t="s">
        <v>38</v>
      </c>
      <c r="AA13" s="23">
        <f t="shared" si="3"/>
        <v>1.5</v>
      </c>
      <c r="AB13" s="23">
        <f t="shared" si="4"/>
        <v>1.5</v>
      </c>
    </row>
    <row r="14" spans="1:30" ht="15.75" thickBot="1" x14ac:dyDescent="0.3">
      <c r="A14" s="143" t="s">
        <v>57</v>
      </c>
      <c r="B14" s="154" t="s">
        <v>62</v>
      </c>
      <c r="C14" s="113" t="s">
        <v>64</v>
      </c>
      <c r="D14" s="114">
        <v>22</v>
      </c>
      <c r="E14" s="115">
        <v>3</v>
      </c>
      <c r="F14" s="88">
        <v>0</v>
      </c>
      <c r="G14" s="89">
        <v>0</v>
      </c>
      <c r="H14" s="117">
        <v>0</v>
      </c>
      <c r="I14" s="117">
        <v>0</v>
      </c>
      <c r="J14" s="117">
        <v>0</v>
      </c>
      <c r="K14" s="155">
        <f t="shared" si="0"/>
        <v>0</v>
      </c>
      <c r="L14" s="119">
        <v>1.5</v>
      </c>
      <c r="M14" s="120">
        <v>1.5</v>
      </c>
      <c r="N14" s="120">
        <v>0</v>
      </c>
      <c r="O14" s="120">
        <v>0</v>
      </c>
      <c r="P14" s="155">
        <f t="shared" si="1"/>
        <v>3</v>
      </c>
      <c r="Q14" s="121">
        <v>0</v>
      </c>
      <c r="R14" s="120">
        <v>0</v>
      </c>
      <c r="S14" s="120">
        <v>0</v>
      </c>
      <c r="T14" s="122">
        <v>0</v>
      </c>
      <c r="U14" s="123">
        <f t="shared" si="2"/>
        <v>0</v>
      </c>
      <c r="V14" s="124">
        <v>0</v>
      </c>
      <c r="W14" s="124">
        <v>0</v>
      </c>
      <c r="X14" s="124">
        <v>0</v>
      </c>
      <c r="Y14" s="156">
        <f t="shared" si="6"/>
        <v>0</v>
      </c>
      <c r="Z14" s="49" t="s">
        <v>38</v>
      </c>
      <c r="AA14" s="50">
        <f t="shared" si="3"/>
        <v>1.5</v>
      </c>
      <c r="AB14" s="125">
        <f t="shared" si="4"/>
        <v>1.5</v>
      </c>
    </row>
    <row r="15" spans="1:30" ht="30.75" thickBot="1" x14ac:dyDescent="0.3">
      <c r="A15" s="157" t="s">
        <v>45</v>
      </c>
      <c r="B15" s="158" t="s">
        <v>33</v>
      </c>
      <c r="C15" s="159" t="s">
        <v>46</v>
      </c>
      <c r="D15" s="160" t="s">
        <v>118</v>
      </c>
      <c r="E15" s="161">
        <v>4</v>
      </c>
      <c r="F15" s="162">
        <v>0</v>
      </c>
      <c r="G15" s="163">
        <v>0</v>
      </c>
      <c r="H15" s="164">
        <v>0</v>
      </c>
      <c r="I15" s="164">
        <v>4</v>
      </c>
      <c r="J15" s="164">
        <v>0</v>
      </c>
      <c r="K15" s="165">
        <f t="shared" si="0"/>
        <v>4</v>
      </c>
      <c r="L15" s="166">
        <v>0</v>
      </c>
      <c r="M15" s="167">
        <v>0</v>
      </c>
      <c r="N15" s="167">
        <v>0</v>
      </c>
      <c r="O15" s="167">
        <v>0</v>
      </c>
      <c r="P15" s="165">
        <f t="shared" si="1"/>
        <v>0</v>
      </c>
      <c r="Q15" s="168">
        <v>0</v>
      </c>
      <c r="R15" s="167">
        <v>0</v>
      </c>
      <c r="S15" s="167">
        <v>0</v>
      </c>
      <c r="T15" s="169">
        <v>0</v>
      </c>
      <c r="U15" s="170">
        <f t="shared" si="2"/>
        <v>0</v>
      </c>
      <c r="V15" s="171">
        <v>0</v>
      </c>
      <c r="W15" s="171">
        <v>0</v>
      </c>
      <c r="X15" s="171">
        <v>0</v>
      </c>
      <c r="Y15" s="98">
        <f t="shared" si="6"/>
        <v>0</v>
      </c>
      <c r="Z15" s="172" t="s">
        <v>38</v>
      </c>
      <c r="AA15" s="173">
        <f t="shared" si="3"/>
        <v>2</v>
      </c>
      <c r="AB15" s="174">
        <f t="shared" si="4"/>
        <v>2</v>
      </c>
    </row>
    <row r="16" spans="1:30" x14ac:dyDescent="0.25">
      <c r="A16" s="175" t="s">
        <v>36</v>
      </c>
      <c r="B16" s="126" t="s">
        <v>43</v>
      </c>
      <c r="C16" s="176" t="s">
        <v>44</v>
      </c>
      <c r="D16" s="177" t="s">
        <v>119</v>
      </c>
      <c r="E16" s="178">
        <v>0.25</v>
      </c>
      <c r="F16" s="179">
        <v>0</v>
      </c>
      <c r="G16" s="180">
        <v>0</v>
      </c>
      <c r="H16" s="181">
        <v>0</v>
      </c>
      <c r="I16" s="181">
        <v>0</v>
      </c>
      <c r="J16" s="181">
        <v>0</v>
      </c>
      <c r="K16" s="130">
        <v>0</v>
      </c>
      <c r="L16" s="182">
        <v>0.25</v>
      </c>
      <c r="M16" s="183">
        <v>0</v>
      </c>
      <c r="N16" s="183">
        <v>0</v>
      </c>
      <c r="O16" s="183">
        <v>0</v>
      </c>
      <c r="P16" s="130">
        <v>0.25</v>
      </c>
      <c r="Q16" s="142">
        <v>0</v>
      </c>
      <c r="R16" s="184">
        <v>0</v>
      </c>
      <c r="S16" s="184">
        <v>0</v>
      </c>
      <c r="T16" s="185">
        <v>0</v>
      </c>
      <c r="U16" s="96">
        <f t="shared" si="2"/>
        <v>0</v>
      </c>
      <c r="V16" s="171">
        <v>0</v>
      </c>
      <c r="W16" s="171">
        <v>0</v>
      </c>
      <c r="X16" s="171">
        <v>0</v>
      </c>
      <c r="Y16" s="132">
        <f t="shared" si="6"/>
        <v>0</v>
      </c>
      <c r="Z16" s="186" t="s">
        <v>38</v>
      </c>
      <c r="AA16" s="58">
        <f t="shared" si="3"/>
        <v>0.125</v>
      </c>
      <c r="AB16" s="58">
        <v>0.125</v>
      </c>
    </row>
    <row r="17" spans="1:28" ht="30" x14ac:dyDescent="0.25">
      <c r="A17" s="187" t="s">
        <v>36</v>
      </c>
      <c r="B17" s="188" t="s">
        <v>33</v>
      </c>
      <c r="C17" s="137" t="s">
        <v>39</v>
      </c>
      <c r="D17" s="152" t="s">
        <v>119</v>
      </c>
      <c r="E17" s="189">
        <v>5</v>
      </c>
      <c r="F17" s="128">
        <v>0</v>
      </c>
      <c r="G17" s="129">
        <v>0</v>
      </c>
      <c r="H17" s="190">
        <v>0</v>
      </c>
      <c r="I17" s="190">
        <v>0</v>
      </c>
      <c r="J17" s="190">
        <v>0</v>
      </c>
      <c r="K17" s="90">
        <f t="shared" si="0"/>
        <v>0</v>
      </c>
      <c r="L17" s="191">
        <v>5</v>
      </c>
      <c r="M17" s="192">
        <v>0</v>
      </c>
      <c r="N17" s="192">
        <v>0</v>
      </c>
      <c r="O17" s="192">
        <v>0</v>
      </c>
      <c r="P17" s="90">
        <f t="shared" si="1"/>
        <v>5</v>
      </c>
      <c r="Q17" s="193">
        <v>0</v>
      </c>
      <c r="R17" s="194">
        <v>0</v>
      </c>
      <c r="S17" s="194">
        <v>0</v>
      </c>
      <c r="T17" s="103">
        <v>0</v>
      </c>
      <c r="U17" s="104">
        <f t="shared" si="2"/>
        <v>0</v>
      </c>
      <c r="V17" s="105">
        <v>0</v>
      </c>
      <c r="W17" s="105">
        <v>0</v>
      </c>
      <c r="X17" s="105">
        <v>0</v>
      </c>
      <c r="Y17" s="150">
        <f t="shared" si="6"/>
        <v>0</v>
      </c>
      <c r="Z17" s="29" t="s">
        <v>38</v>
      </c>
      <c r="AA17" s="23">
        <f t="shared" si="3"/>
        <v>2.5</v>
      </c>
      <c r="AB17" s="134">
        <f t="shared" si="4"/>
        <v>2.5</v>
      </c>
    </row>
    <row r="18" spans="1:28" ht="30" x14ac:dyDescent="0.25">
      <c r="A18" s="187" t="s">
        <v>36</v>
      </c>
      <c r="B18" s="188" t="s">
        <v>33</v>
      </c>
      <c r="C18" s="137" t="s">
        <v>37</v>
      </c>
      <c r="D18" s="152" t="s">
        <v>119</v>
      </c>
      <c r="E18" s="189">
        <v>1</v>
      </c>
      <c r="F18" s="128">
        <v>0</v>
      </c>
      <c r="G18" s="129">
        <v>0</v>
      </c>
      <c r="H18" s="195">
        <v>0</v>
      </c>
      <c r="I18" s="195">
        <v>0</v>
      </c>
      <c r="J18" s="195">
        <v>0</v>
      </c>
      <c r="K18" s="90">
        <f t="shared" si="0"/>
        <v>0</v>
      </c>
      <c r="L18" s="191">
        <v>1</v>
      </c>
      <c r="M18" s="192">
        <v>0</v>
      </c>
      <c r="N18" s="192">
        <v>0</v>
      </c>
      <c r="O18" s="192">
        <v>0</v>
      </c>
      <c r="P18" s="90">
        <f t="shared" si="1"/>
        <v>1</v>
      </c>
      <c r="Q18" s="196">
        <v>0</v>
      </c>
      <c r="R18" s="192">
        <v>0</v>
      </c>
      <c r="S18" s="192">
        <v>0</v>
      </c>
      <c r="T18" s="103">
        <v>0</v>
      </c>
      <c r="U18" s="104">
        <f t="shared" si="2"/>
        <v>0</v>
      </c>
      <c r="V18" s="105">
        <v>0</v>
      </c>
      <c r="W18" s="105">
        <v>0</v>
      </c>
      <c r="X18" s="105">
        <v>0</v>
      </c>
      <c r="Y18" s="150">
        <f t="shared" si="6"/>
        <v>0</v>
      </c>
      <c r="Z18" s="29" t="s">
        <v>38</v>
      </c>
      <c r="AA18" s="23">
        <f t="shared" si="3"/>
        <v>0.5</v>
      </c>
      <c r="AB18" s="23">
        <f t="shared" si="4"/>
        <v>0.5</v>
      </c>
    </row>
    <row r="19" spans="1:28" ht="30" x14ac:dyDescent="0.25">
      <c r="A19" s="187" t="s">
        <v>36</v>
      </c>
      <c r="B19" s="188" t="s">
        <v>33</v>
      </c>
      <c r="C19" s="17" t="s">
        <v>40</v>
      </c>
      <c r="D19" s="100">
        <v>38</v>
      </c>
      <c r="E19" s="108">
        <v>10.1</v>
      </c>
      <c r="F19" s="88">
        <v>0</v>
      </c>
      <c r="G19" s="89">
        <v>0</v>
      </c>
      <c r="H19" s="89">
        <v>0</v>
      </c>
      <c r="I19" s="89">
        <v>0</v>
      </c>
      <c r="J19" s="89">
        <v>0</v>
      </c>
      <c r="K19" s="90">
        <f t="shared" si="0"/>
        <v>0</v>
      </c>
      <c r="L19" s="102">
        <v>10.1</v>
      </c>
      <c r="M19" s="94">
        <v>0</v>
      </c>
      <c r="N19" s="94">
        <v>0</v>
      </c>
      <c r="O19" s="94">
        <v>0</v>
      </c>
      <c r="P19" s="90">
        <f t="shared" si="1"/>
        <v>10.1</v>
      </c>
      <c r="Q19" s="29">
        <v>0</v>
      </c>
      <c r="R19" s="94">
        <v>0</v>
      </c>
      <c r="S19" s="94">
        <v>0</v>
      </c>
      <c r="T19" s="103">
        <v>0</v>
      </c>
      <c r="U19" s="104">
        <f t="shared" si="2"/>
        <v>0</v>
      </c>
      <c r="V19" s="105">
        <v>0</v>
      </c>
      <c r="W19" s="105">
        <v>0</v>
      </c>
      <c r="X19" s="105">
        <v>0</v>
      </c>
      <c r="Y19" s="150">
        <f t="shared" si="6"/>
        <v>0</v>
      </c>
      <c r="Z19" s="197" t="s">
        <v>38</v>
      </c>
      <c r="AA19" s="23">
        <f t="shared" si="3"/>
        <v>5.05</v>
      </c>
      <c r="AB19" s="23">
        <f t="shared" si="4"/>
        <v>5.05</v>
      </c>
    </row>
    <row r="20" spans="1:28" ht="30" x14ac:dyDescent="0.25">
      <c r="A20" s="187" t="s">
        <v>36</v>
      </c>
      <c r="B20" s="188" t="s">
        <v>33</v>
      </c>
      <c r="C20" s="17" t="s">
        <v>41</v>
      </c>
      <c r="D20" s="100">
        <v>39</v>
      </c>
      <c r="E20" s="108">
        <v>1.5</v>
      </c>
      <c r="F20" s="88">
        <v>0</v>
      </c>
      <c r="G20" s="89">
        <v>0</v>
      </c>
      <c r="H20" s="89">
        <v>0</v>
      </c>
      <c r="I20" s="89">
        <v>0</v>
      </c>
      <c r="J20" s="89">
        <v>0</v>
      </c>
      <c r="K20" s="90">
        <f t="shared" si="0"/>
        <v>0</v>
      </c>
      <c r="L20" s="102">
        <v>1.5</v>
      </c>
      <c r="M20" s="94">
        <v>0</v>
      </c>
      <c r="N20" s="94">
        <v>0</v>
      </c>
      <c r="O20" s="94">
        <v>0</v>
      </c>
      <c r="P20" s="90">
        <f t="shared" si="1"/>
        <v>1.5</v>
      </c>
      <c r="Q20" s="29">
        <v>0</v>
      </c>
      <c r="R20" s="94">
        <v>0</v>
      </c>
      <c r="S20" s="94">
        <v>0</v>
      </c>
      <c r="T20" s="103">
        <v>0</v>
      </c>
      <c r="U20" s="104">
        <f t="shared" si="2"/>
        <v>0</v>
      </c>
      <c r="V20" s="105">
        <v>0</v>
      </c>
      <c r="W20" s="105">
        <v>0</v>
      </c>
      <c r="X20" s="105">
        <v>0</v>
      </c>
      <c r="Y20" s="141">
        <f t="shared" si="6"/>
        <v>0</v>
      </c>
      <c r="Z20" s="198" t="s">
        <v>38</v>
      </c>
      <c r="AA20" s="23">
        <f t="shared" si="3"/>
        <v>0.75</v>
      </c>
      <c r="AB20" s="23">
        <f t="shared" si="4"/>
        <v>0.75</v>
      </c>
    </row>
    <row r="21" spans="1:28" ht="30.75" thickBot="1" x14ac:dyDescent="0.3">
      <c r="A21" s="187" t="s">
        <v>36</v>
      </c>
      <c r="B21" s="188" t="s">
        <v>33</v>
      </c>
      <c r="C21" s="17" t="s">
        <v>42</v>
      </c>
      <c r="D21" s="199">
        <v>39</v>
      </c>
      <c r="E21" s="200">
        <v>1.5</v>
      </c>
      <c r="F21" s="201">
        <v>0</v>
      </c>
      <c r="G21" s="202">
        <v>0</v>
      </c>
      <c r="H21" s="202">
        <v>0</v>
      </c>
      <c r="I21" s="202">
        <v>0</v>
      </c>
      <c r="J21" s="202">
        <v>0</v>
      </c>
      <c r="K21" s="90">
        <f t="shared" si="0"/>
        <v>0</v>
      </c>
      <c r="L21" s="203">
        <v>0.375</v>
      </c>
      <c r="M21" s="204">
        <v>0.375</v>
      </c>
      <c r="N21" s="204">
        <v>0.375</v>
      </c>
      <c r="O21" s="204">
        <v>0.375</v>
      </c>
      <c r="P21" s="93">
        <f t="shared" si="1"/>
        <v>1.5</v>
      </c>
      <c r="Q21" s="49">
        <v>0</v>
      </c>
      <c r="R21" s="205">
        <v>0</v>
      </c>
      <c r="S21" s="205">
        <v>0</v>
      </c>
      <c r="T21" s="122">
        <v>0</v>
      </c>
      <c r="U21" s="206">
        <f t="shared" si="2"/>
        <v>0</v>
      </c>
      <c r="V21" s="207">
        <v>0</v>
      </c>
      <c r="W21" s="207">
        <v>0</v>
      </c>
      <c r="X21" s="207">
        <v>0</v>
      </c>
      <c r="Y21" s="156">
        <f t="shared" si="6"/>
        <v>0</v>
      </c>
      <c r="Z21" s="198" t="s">
        <v>35</v>
      </c>
      <c r="AA21" s="50">
        <f t="shared" si="3"/>
        <v>0.83610000000000007</v>
      </c>
      <c r="AB21" s="23">
        <f t="shared" si="4"/>
        <v>0.66389999999999993</v>
      </c>
    </row>
    <row r="22" spans="1:28" ht="30.75" thickBot="1" x14ac:dyDescent="0.3">
      <c r="A22" s="208" t="s">
        <v>32</v>
      </c>
      <c r="B22" s="209" t="s">
        <v>33</v>
      </c>
      <c r="C22" s="210" t="s">
        <v>34</v>
      </c>
      <c r="D22" s="211">
        <v>42</v>
      </c>
      <c r="E22" s="212">
        <v>1.6</v>
      </c>
      <c r="F22" s="162">
        <v>0</v>
      </c>
      <c r="G22" s="163">
        <v>0</v>
      </c>
      <c r="H22" s="163">
        <v>0</v>
      </c>
      <c r="I22" s="163">
        <v>0</v>
      </c>
      <c r="J22" s="163">
        <v>0</v>
      </c>
      <c r="K22" s="213">
        <f t="shared" si="0"/>
        <v>0</v>
      </c>
      <c r="L22" s="214">
        <v>1.6</v>
      </c>
      <c r="M22" s="215">
        <v>0</v>
      </c>
      <c r="N22" s="215">
        <v>0</v>
      </c>
      <c r="O22" s="215">
        <v>0</v>
      </c>
      <c r="P22" s="216">
        <f t="shared" si="1"/>
        <v>1.6</v>
      </c>
      <c r="Q22" s="172">
        <v>0</v>
      </c>
      <c r="R22" s="215">
        <v>0</v>
      </c>
      <c r="S22" s="215">
        <v>0</v>
      </c>
      <c r="T22" s="169">
        <v>0</v>
      </c>
      <c r="U22" s="123">
        <f t="shared" si="2"/>
        <v>0</v>
      </c>
      <c r="V22" s="217">
        <v>0</v>
      </c>
      <c r="W22" s="217">
        <v>0</v>
      </c>
      <c r="X22" s="217">
        <v>0</v>
      </c>
      <c r="Y22" s="98">
        <f t="shared" si="6"/>
        <v>0</v>
      </c>
      <c r="Z22" s="172" t="s">
        <v>35</v>
      </c>
      <c r="AA22" s="173">
        <f t="shared" si="3"/>
        <v>0.97728000000000004</v>
      </c>
      <c r="AB22" s="174">
        <f t="shared" si="4"/>
        <v>0.62272000000000005</v>
      </c>
    </row>
    <row r="23" spans="1:28" ht="30.75" thickBot="1" x14ac:dyDescent="0.3">
      <c r="A23" s="218" t="s">
        <v>47</v>
      </c>
      <c r="B23" s="158" t="s">
        <v>33</v>
      </c>
      <c r="C23" s="159" t="s">
        <v>48</v>
      </c>
      <c r="D23" s="160" t="s">
        <v>120</v>
      </c>
      <c r="E23" s="219">
        <v>5</v>
      </c>
      <c r="F23" s="162">
        <v>0</v>
      </c>
      <c r="G23" s="163">
        <v>0</v>
      </c>
      <c r="H23" s="164">
        <v>0</v>
      </c>
      <c r="I23" s="164">
        <v>0</v>
      </c>
      <c r="J23" s="163">
        <v>0</v>
      </c>
      <c r="K23" s="165">
        <v>0</v>
      </c>
      <c r="L23" s="166">
        <v>2.5</v>
      </c>
      <c r="M23" s="164">
        <v>2.5</v>
      </c>
      <c r="N23" s="167">
        <v>0</v>
      </c>
      <c r="O23" s="167">
        <v>0</v>
      </c>
      <c r="P23" s="216">
        <f t="shared" si="1"/>
        <v>5</v>
      </c>
      <c r="Q23" s="168">
        <v>0</v>
      </c>
      <c r="R23" s="167">
        <v>0</v>
      </c>
      <c r="S23" s="167">
        <v>0</v>
      </c>
      <c r="T23" s="220">
        <v>0</v>
      </c>
      <c r="U23" s="221">
        <f t="shared" si="2"/>
        <v>0</v>
      </c>
      <c r="V23" s="222">
        <v>0</v>
      </c>
      <c r="W23" s="222">
        <v>0</v>
      </c>
      <c r="X23" s="222">
        <v>0</v>
      </c>
      <c r="Y23" s="98">
        <f t="shared" si="6"/>
        <v>0</v>
      </c>
      <c r="Z23" s="172" t="s">
        <v>35</v>
      </c>
      <c r="AA23" s="173">
        <f t="shared" si="3"/>
        <v>2.8760000000000003</v>
      </c>
      <c r="AB23" s="174">
        <f t="shared" si="4"/>
        <v>2.1239999999999997</v>
      </c>
    </row>
    <row r="24" spans="1:28" ht="30.75" thickBot="1" x14ac:dyDescent="0.3">
      <c r="A24" s="218" t="s">
        <v>55</v>
      </c>
      <c r="B24" s="158" t="s">
        <v>33</v>
      </c>
      <c r="C24" s="159" t="s">
        <v>56</v>
      </c>
      <c r="D24" s="160" t="s">
        <v>121</v>
      </c>
      <c r="E24" s="223">
        <v>0.9</v>
      </c>
      <c r="F24" s="162">
        <v>0</v>
      </c>
      <c r="G24" s="163">
        <v>0</v>
      </c>
      <c r="H24" s="164">
        <v>0</v>
      </c>
      <c r="I24" s="164">
        <v>0</v>
      </c>
      <c r="J24" s="164">
        <v>0</v>
      </c>
      <c r="K24" s="213">
        <f t="shared" si="0"/>
        <v>0</v>
      </c>
      <c r="L24" s="224">
        <v>0.6</v>
      </c>
      <c r="M24" s="225">
        <v>0.1</v>
      </c>
      <c r="N24" s="225">
        <v>0.1</v>
      </c>
      <c r="O24" s="225">
        <v>0.1</v>
      </c>
      <c r="P24" s="226">
        <f t="shared" si="1"/>
        <v>0.89999999999999991</v>
      </c>
      <c r="Q24" s="168">
        <v>0</v>
      </c>
      <c r="R24" s="167">
        <v>0</v>
      </c>
      <c r="S24" s="167">
        <v>0</v>
      </c>
      <c r="T24" s="169">
        <v>0</v>
      </c>
      <c r="U24" s="221">
        <v>0.15</v>
      </c>
      <c r="V24" s="217">
        <v>0</v>
      </c>
      <c r="W24" s="217">
        <v>0</v>
      </c>
      <c r="X24" s="222">
        <v>0</v>
      </c>
      <c r="Y24" s="132">
        <f t="shared" si="6"/>
        <v>0</v>
      </c>
      <c r="Z24" s="172" t="s">
        <v>38</v>
      </c>
      <c r="AA24" s="173">
        <f t="shared" si="3"/>
        <v>0.45</v>
      </c>
      <c r="AB24" s="174">
        <f t="shared" si="4"/>
        <v>0.45</v>
      </c>
    </row>
    <row r="25" spans="1:28" ht="30.75" thickBot="1" x14ac:dyDescent="0.3">
      <c r="A25" s="227" t="s">
        <v>66</v>
      </c>
      <c r="B25" s="228" t="s">
        <v>66</v>
      </c>
      <c r="C25" s="229" t="s">
        <v>67</v>
      </c>
      <c r="D25" s="230" t="s">
        <v>122</v>
      </c>
      <c r="E25" s="231">
        <v>0.5</v>
      </c>
      <c r="F25" s="162">
        <v>0</v>
      </c>
      <c r="G25" s="163">
        <v>0</v>
      </c>
      <c r="H25" s="164">
        <v>0</v>
      </c>
      <c r="I25" s="164">
        <v>0</v>
      </c>
      <c r="J25" s="164">
        <v>0</v>
      </c>
      <c r="K25" s="213">
        <v>0</v>
      </c>
      <c r="L25" s="224">
        <v>0.05</v>
      </c>
      <c r="M25" s="232">
        <v>0.05</v>
      </c>
      <c r="N25" s="232">
        <v>0.05</v>
      </c>
      <c r="O25" s="232">
        <v>0.05</v>
      </c>
      <c r="P25" s="226">
        <v>0.2</v>
      </c>
      <c r="Q25" s="233">
        <v>0.05</v>
      </c>
      <c r="R25" s="232">
        <v>0.05</v>
      </c>
      <c r="S25" s="232">
        <v>0.05</v>
      </c>
      <c r="T25" s="234">
        <v>0.05</v>
      </c>
      <c r="U25" s="235">
        <v>0.2</v>
      </c>
      <c r="V25" s="236">
        <v>0.04</v>
      </c>
      <c r="W25" s="236">
        <v>0.03</v>
      </c>
      <c r="X25" s="236">
        <v>0.03</v>
      </c>
      <c r="Y25" s="235">
        <f>SUM(V25:X25)</f>
        <v>0.1</v>
      </c>
      <c r="Z25" s="237" t="s">
        <v>38</v>
      </c>
      <c r="AA25" s="238">
        <f t="shared" si="3"/>
        <v>0.25</v>
      </c>
      <c r="AB25" s="238">
        <v>0.25</v>
      </c>
    </row>
    <row r="26" spans="1:28" ht="45.75" thickBot="1" x14ac:dyDescent="0.3">
      <c r="A26" s="218" t="s">
        <v>123</v>
      </c>
      <c r="B26" s="239" t="s">
        <v>124</v>
      </c>
      <c r="C26" s="240" t="s">
        <v>70</v>
      </c>
      <c r="D26" s="160" t="s">
        <v>122</v>
      </c>
      <c r="E26" s="241">
        <f>AB26+AA26</f>
        <v>47.135236902800131</v>
      </c>
      <c r="F26" s="242">
        <v>0</v>
      </c>
      <c r="G26" s="243">
        <v>0</v>
      </c>
      <c r="H26" s="244">
        <v>0</v>
      </c>
      <c r="I26" s="244">
        <v>0</v>
      </c>
      <c r="J26" s="244">
        <v>0</v>
      </c>
      <c r="K26" s="216">
        <f t="shared" si="0"/>
        <v>0</v>
      </c>
      <c r="L26" s="245">
        <v>0</v>
      </c>
      <c r="M26" s="246">
        <v>0</v>
      </c>
      <c r="N26" s="246">
        <v>0</v>
      </c>
      <c r="O26" s="246">
        <f>P26</f>
        <v>31.423491268533422</v>
      </c>
      <c r="P26" s="247">
        <f>E26*2/3</f>
        <v>31.423491268533422</v>
      </c>
      <c r="Q26" s="248">
        <v>0</v>
      </c>
      <c r="R26" s="246">
        <v>0</v>
      </c>
      <c r="S26" s="246">
        <f>T26</f>
        <v>15.711745634266711</v>
      </c>
      <c r="T26" s="246">
        <f>E26*1/3</f>
        <v>15.711745634266711</v>
      </c>
      <c r="U26" s="249">
        <f>SUM(Q26:T26)</f>
        <v>31.423491268533422</v>
      </c>
      <c r="V26" s="217">
        <v>0</v>
      </c>
      <c r="W26" s="217">
        <v>0</v>
      </c>
      <c r="X26" s="217">
        <v>0</v>
      </c>
      <c r="Y26" s="250">
        <f>SUM(V26:X26)</f>
        <v>0</v>
      </c>
      <c r="Z26" s="239" t="s">
        <v>38</v>
      </c>
      <c r="AA26" s="174">
        <f>AB26</f>
        <v>23.567618451400065</v>
      </c>
      <c r="AB26" s="174">
        <v>23.567618451400065</v>
      </c>
    </row>
    <row r="27" spans="1:28" ht="15.75" thickBot="1" x14ac:dyDescent="0.3">
      <c r="A27" s="218"/>
      <c r="B27" s="158"/>
      <c r="C27" s="210" t="s">
        <v>71</v>
      </c>
      <c r="D27" s="160" t="s">
        <v>122</v>
      </c>
      <c r="E27" s="251">
        <f>SUM(E5:E26)</f>
        <v>157.88523690280013</v>
      </c>
      <c r="F27" s="251">
        <f t="shared" ref="F27:Y27" si="8">SUM(F5:F26)</f>
        <v>0</v>
      </c>
      <c r="G27" s="251">
        <f t="shared" si="8"/>
        <v>0.1</v>
      </c>
      <c r="H27" s="251">
        <f t="shared" si="8"/>
        <v>0.4</v>
      </c>
      <c r="I27" s="251">
        <f t="shared" si="8"/>
        <v>39.25</v>
      </c>
      <c r="J27" s="251">
        <f>SUM(J5:J26)</f>
        <v>30.75</v>
      </c>
      <c r="K27" s="38">
        <f t="shared" si="8"/>
        <v>70.2</v>
      </c>
      <c r="L27" s="251">
        <f t="shared" si="8"/>
        <v>33.375</v>
      </c>
      <c r="M27" s="251">
        <f t="shared" si="8"/>
        <v>4.8249999999999993</v>
      </c>
      <c r="N27" s="251">
        <f t="shared" si="8"/>
        <v>0.52500000000000002</v>
      </c>
      <c r="O27" s="251">
        <f t="shared" si="8"/>
        <v>31.94849126853342</v>
      </c>
      <c r="P27" s="38">
        <f t="shared" si="8"/>
        <v>70.673491268533425</v>
      </c>
      <c r="Q27" s="251">
        <f t="shared" si="8"/>
        <v>0.05</v>
      </c>
      <c r="R27" s="251">
        <f t="shared" si="8"/>
        <v>0.05</v>
      </c>
      <c r="S27" s="251">
        <f t="shared" si="8"/>
        <v>16.76174563426671</v>
      </c>
      <c r="T27" s="251">
        <f t="shared" si="8"/>
        <v>16.76174563426671</v>
      </c>
      <c r="U27" s="251">
        <f t="shared" si="8"/>
        <v>33.773491268533419</v>
      </c>
      <c r="V27" s="252">
        <f t="shared" si="8"/>
        <v>0.04</v>
      </c>
      <c r="W27" s="252">
        <f t="shared" si="8"/>
        <v>0.03</v>
      </c>
      <c r="X27" s="252">
        <f t="shared" si="8"/>
        <v>0.03</v>
      </c>
      <c r="Y27" s="252">
        <f t="shared" si="8"/>
        <v>0.1</v>
      </c>
      <c r="Z27" s="253" t="s">
        <v>72</v>
      </c>
      <c r="AA27" s="254">
        <f>SUM(AA5:AA26)</f>
        <v>86.019478451400062</v>
      </c>
      <c r="AB27" s="254">
        <f>SUM(AB5:AB26)</f>
        <v>71.865758451400069</v>
      </c>
    </row>
    <row r="28" spans="1:28" x14ac:dyDescent="0.25">
      <c r="C28" s="74"/>
    </row>
    <row r="29" spans="1:28" x14ac:dyDescent="0.25">
      <c r="A29" s="75" t="s">
        <v>35</v>
      </c>
      <c r="C29" s="76"/>
      <c r="D29" s="255"/>
      <c r="E29" s="76"/>
      <c r="F29" s="76"/>
      <c r="G29" s="76"/>
      <c r="H29" s="76"/>
      <c r="I29" s="76"/>
      <c r="J29" s="76"/>
      <c r="K29" s="76">
        <f>SUMIFS(K$5:K$26,$Z$5:$Z$26,$A29)</f>
        <v>58.1</v>
      </c>
      <c r="L29" s="76"/>
      <c r="M29" s="76"/>
      <c r="N29" s="76"/>
      <c r="O29" s="76"/>
      <c r="P29" s="76">
        <f>SUMIFS(P$5:P$26,$Z$5:$Z$26,$A29)</f>
        <v>8.1</v>
      </c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>
        <f>SUMIFS(AA$5:AA$26,$Z$5:$Z$26,$A29)</f>
        <v>40.176859999999998</v>
      </c>
      <c r="AB29" s="76">
        <f>SUMIFS(AB$5:AB$26,$Z$5:$Z$26,$A29)</f>
        <v>26.023140000000001</v>
      </c>
    </row>
    <row r="30" spans="1:28" x14ac:dyDescent="0.25">
      <c r="A30" s="75" t="s">
        <v>38</v>
      </c>
      <c r="C30" s="76"/>
      <c r="D30" s="255"/>
      <c r="E30" s="76"/>
      <c r="F30" s="76"/>
      <c r="G30" s="76"/>
      <c r="H30" s="76"/>
      <c r="I30" s="76"/>
      <c r="J30" s="76"/>
      <c r="K30" s="76">
        <f>SUMIFS(K$5:K$26,$Z$5:$Z$26,$A30)</f>
        <v>12.1</v>
      </c>
      <c r="L30" s="76"/>
      <c r="M30" s="76"/>
      <c r="N30" s="76"/>
      <c r="O30" s="76"/>
      <c r="P30" s="76">
        <f>SUMIFS(P$5:P$26,$Z$5:$Z$26,$A30)</f>
        <v>62.573491268533424</v>
      </c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>
        <f>SUMIFS(AA$5:AA$26,$Z$5:$Z$26,$A30)</f>
        <v>45.842618451400064</v>
      </c>
      <c r="AB30" s="76">
        <f>SUMIFS(AB$5:AB$26,$Z$5:$Z$26,$A30)</f>
        <v>45.842618451400064</v>
      </c>
    </row>
  </sheetData>
  <mergeCells count="1">
    <mergeCell ref="F3:K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D50A-586F-4B41-A72E-864C002FB193}">
  <dimension ref="A1:Y29"/>
  <sheetViews>
    <sheetView workbookViewId="0">
      <pane xSplit="4" topLeftCell="E1" activePane="topRight" state="frozen"/>
      <selection activeCell="F4" sqref="F4"/>
      <selection pane="topRight" activeCell="F4" sqref="F4"/>
    </sheetView>
  </sheetViews>
  <sheetFormatPr defaultRowHeight="15" outlineLevelCol="1" x14ac:dyDescent="0.25"/>
  <cols>
    <col min="1" max="1" width="24" bestFit="1" customWidth="1"/>
    <col min="2" max="2" width="33" customWidth="1"/>
    <col min="3" max="3" width="65.85546875" customWidth="1"/>
    <col min="4" max="4" width="9.5703125" style="81" customWidth="1"/>
    <col min="5" max="5" width="11.7109375" customWidth="1"/>
    <col min="6" max="6" width="14.28515625" customWidth="1"/>
    <col min="7" max="7" width="14.28515625" customWidth="1" outlineLevel="1"/>
    <col min="8" max="10" width="11.7109375" customWidth="1" outlineLevel="1"/>
    <col min="11" max="11" width="9.5703125" bestFit="1" customWidth="1"/>
    <col min="12" max="14" width="9.140625" outlineLevel="1"/>
    <col min="15" max="15" width="10.7109375" customWidth="1" outlineLevel="1"/>
    <col min="16" max="16" width="9.5703125" bestFit="1" customWidth="1"/>
    <col min="17" max="19" width="10.7109375" customWidth="1" outlineLevel="1"/>
    <col min="20" max="20" width="12.140625" customWidth="1"/>
    <col min="21" max="23" width="21.7109375" customWidth="1"/>
  </cols>
  <sheetData>
    <row r="1" spans="1:25" x14ac:dyDescent="0.25">
      <c r="A1" s="80" t="s">
        <v>125</v>
      </c>
    </row>
    <row r="2" spans="1:25" s="5" customFormat="1" x14ac:dyDescent="0.25">
      <c r="C2" s="6" t="s">
        <v>3</v>
      </c>
      <c r="D2" s="82"/>
      <c r="E2" s="7"/>
      <c r="F2" s="8"/>
      <c r="G2" s="9">
        <f>0.5409+0.062</f>
        <v>0.60289999999999999</v>
      </c>
      <c r="H2" s="9">
        <v>0.61080000000000001</v>
      </c>
      <c r="I2" s="9">
        <v>0.61080000000000001</v>
      </c>
      <c r="J2" s="9">
        <v>0.61080000000000001</v>
      </c>
      <c r="K2" s="9">
        <f>ROUND(AVERAGE(G2:J2),4)</f>
        <v>0.60880000000000001</v>
      </c>
      <c r="L2" s="9">
        <v>0.54879999999999995</v>
      </c>
      <c r="M2" s="9">
        <v>0.53959999999999997</v>
      </c>
      <c r="N2" s="9">
        <v>0.53959999999999997</v>
      </c>
      <c r="O2" s="9">
        <v>0.53959999999999997</v>
      </c>
      <c r="P2" s="9">
        <f>ROUND(AVERAGE(L2:O2),4)</f>
        <v>0.54190000000000005</v>
      </c>
      <c r="Q2" s="9">
        <v>0.53959999999999997</v>
      </c>
      <c r="R2" s="9">
        <v>0.56489999999999996</v>
      </c>
      <c r="S2" s="9">
        <v>0.56489999999999996</v>
      </c>
      <c r="T2" s="9">
        <f>ROUND(AVERAGE(Q2:S2),4)</f>
        <v>0.55649999999999999</v>
      </c>
    </row>
    <row r="3" spans="1:25" x14ac:dyDescent="0.25">
      <c r="F3" s="377" t="s">
        <v>126</v>
      </c>
      <c r="G3" s="378"/>
      <c r="H3" s="378"/>
      <c r="I3" s="378"/>
      <c r="J3" s="379" t="s">
        <v>127</v>
      </c>
      <c r="K3" s="380"/>
      <c r="L3" s="380"/>
      <c r="M3" s="380"/>
      <c r="N3" s="380"/>
      <c r="O3" s="380"/>
      <c r="P3" s="380"/>
      <c r="Q3" s="380"/>
      <c r="R3" s="380"/>
      <c r="S3" s="380"/>
      <c r="T3" s="381"/>
    </row>
    <row r="4" spans="1:25" ht="60.75" thickBot="1" x14ac:dyDescent="0.3">
      <c r="A4" s="12" t="s">
        <v>8</v>
      </c>
      <c r="B4" s="12" t="s">
        <v>9</v>
      </c>
      <c r="C4" s="12" t="s">
        <v>10</v>
      </c>
      <c r="D4" s="12" t="s">
        <v>128</v>
      </c>
      <c r="E4" s="12" t="s">
        <v>11</v>
      </c>
      <c r="F4" s="12" t="s">
        <v>12</v>
      </c>
      <c r="G4" s="12" t="s">
        <v>104</v>
      </c>
      <c r="H4" s="12" t="s">
        <v>129</v>
      </c>
      <c r="I4" s="12" t="s">
        <v>106</v>
      </c>
      <c r="J4" s="12" t="s">
        <v>113</v>
      </c>
      <c r="K4" s="13" t="s">
        <v>13</v>
      </c>
      <c r="L4" s="12" t="s">
        <v>108</v>
      </c>
      <c r="M4" s="12" t="s">
        <v>130</v>
      </c>
      <c r="N4" s="12" t="s">
        <v>16</v>
      </c>
      <c r="O4" s="12" t="s">
        <v>17</v>
      </c>
      <c r="P4" s="13" t="s">
        <v>114</v>
      </c>
      <c r="Q4" s="12" t="s">
        <v>115</v>
      </c>
      <c r="R4" s="12" t="s">
        <v>131</v>
      </c>
      <c r="S4" s="12" t="s">
        <v>21</v>
      </c>
      <c r="T4" s="12" t="s">
        <v>132</v>
      </c>
      <c r="U4" s="12" t="s">
        <v>29</v>
      </c>
      <c r="V4" s="12" t="s">
        <v>30</v>
      </c>
      <c r="W4" s="12" t="s">
        <v>31</v>
      </c>
    </row>
    <row r="5" spans="1:25" x14ac:dyDescent="0.25">
      <c r="A5" s="84" t="s">
        <v>49</v>
      </c>
      <c r="B5" s="85" t="s">
        <v>43</v>
      </c>
      <c r="C5" s="86" t="s">
        <v>50</v>
      </c>
      <c r="D5" s="152">
        <v>12</v>
      </c>
      <c r="E5" s="101">
        <v>4.0999999999999996</v>
      </c>
      <c r="F5" s="88">
        <v>0</v>
      </c>
      <c r="G5" s="89">
        <v>0</v>
      </c>
      <c r="H5" s="89">
        <v>0</v>
      </c>
      <c r="I5" s="89">
        <v>0</v>
      </c>
      <c r="J5" s="89">
        <v>1</v>
      </c>
      <c r="K5" s="256">
        <f t="shared" ref="K5:K25" si="0">SUM(G5:J5)</f>
        <v>1</v>
      </c>
      <c r="L5" s="89">
        <v>3.1</v>
      </c>
      <c r="M5" s="94"/>
      <c r="N5" s="94"/>
      <c r="O5" s="94"/>
      <c r="P5" s="256">
        <f t="shared" ref="P5:P24" si="1">SUM(L5:O5)</f>
        <v>3.1</v>
      </c>
      <c r="Q5" s="94"/>
      <c r="R5" s="94"/>
      <c r="S5" s="94">
        <v>0</v>
      </c>
      <c r="T5" s="257">
        <f t="shared" ref="T5:T24" si="2">SUM(Q5:S5)</f>
        <v>0</v>
      </c>
      <c r="U5" s="29" t="s">
        <v>38</v>
      </c>
      <c r="V5" s="23">
        <f>IF(U5="BENEFITS",$F$2*F5+SUMPRODUCT($G$2:$J$2,G5:J5)+SUMPRODUCT($L$2:$O$2,L5:O5)+SUMPRODUCT($Q$2:$S$2,Q5:S5), IF(U5="ADMIN",E5*0.5,"DETERMINE MATCH"))</f>
        <v>2.0499999999999998</v>
      </c>
      <c r="W5" s="23">
        <f>E5-V5</f>
        <v>2.0499999999999998</v>
      </c>
    </row>
    <row r="6" spans="1:25" x14ac:dyDescent="0.25">
      <c r="A6" s="99" t="s">
        <v>49</v>
      </c>
      <c r="B6" s="16" t="s">
        <v>43</v>
      </c>
      <c r="C6" s="17" t="s">
        <v>51</v>
      </c>
      <c r="D6" s="100" t="s">
        <v>133</v>
      </c>
      <c r="E6" s="101">
        <v>0.6</v>
      </c>
      <c r="F6" s="88">
        <v>0</v>
      </c>
      <c r="G6" s="89">
        <v>0</v>
      </c>
      <c r="H6" s="89">
        <v>0</v>
      </c>
      <c r="I6" s="89">
        <v>0</v>
      </c>
      <c r="J6" s="89">
        <v>0.3</v>
      </c>
      <c r="K6" s="256">
        <f t="shared" si="0"/>
        <v>0.3</v>
      </c>
      <c r="L6" s="89">
        <v>0.3</v>
      </c>
      <c r="M6" s="94"/>
      <c r="N6" s="94"/>
      <c r="O6" s="94"/>
      <c r="P6" s="256">
        <f t="shared" si="1"/>
        <v>0.3</v>
      </c>
      <c r="Q6" s="94"/>
      <c r="R6" s="94"/>
      <c r="S6" s="94">
        <v>0</v>
      </c>
      <c r="T6" s="258">
        <f t="shared" si="2"/>
        <v>0</v>
      </c>
      <c r="U6" s="29" t="s">
        <v>38</v>
      </c>
      <c r="V6" s="23">
        <f t="shared" ref="V6:V24" si="3">IF(U6="BENEFITS",$F$2*F6+SUMPRODUCT($G$2:$J$2,G6:J6)+SUMPRODUCT($L$2:$O$2,L6:O6)+SUMPRODUCT($Q$2:$S$2,Q6:S6), IF(U6="ADMIN",E6*0.5,"DETERMINE MATCH"))</f>
        <v>0.3</v>
      </c>
      <c r="W6" s="23">
        <f t="shared" ref="W6:W24" si="4">E6-V6</f>
        <v>0.3</v>
      </c>
    </row>
    <row r="7" spans="1:25" x14ac:dyDescent="0.25">
      <c r="A7" s="99" t="s">
        <v>49</v>
      </c>
      <c r="B7" s="107" t="s">
        <v>43</v>
      </c>
      <c r="C7" s="17" t="s">
        <v>52</v>
      </c>
      <c r="D7" s="100">
        <v>13</v>
      </c>
      <c r="E7" s="108">
        <v>0.5</v>
      </c>
      <c r="F7" s="88">
        <v>0</v>
      </c>
      <c r="G7" s="89">
        <v>0</v>
      </c>
      <c r="H7" s="89">
        <v>0</v>
      </c>
      <c r="I7" s="89">
        <v>0</v>
      </c>
      <c r="J7" s="89">
        <v>0</v>
      </c>
      <c r="K7" s="256">
        <f t="shared" si="0"/>
        <v>0</v>
      </c>
      <c r="L7" s="89">
        <v>0.5</v>
      </c>
      <c r="M7" s="94"/>
      <c r="N7" s="94"/>
      <c r="O7" s="94"/>
      <c r="P7" s="256">
        <f t="shared" si="1"/>
        <v>0.5</v>
      </c>
      <c r="Q7" s="94"/>
      <c r="R7" s="94"/>
      <c r="S7" s="94">
        <v>0</v>
      </c>
      <c r="T7" s="258">
        <f t="shared" si="2"/>
        <v>0</v>
      </c>
      <c r="U7" s="29" t="s">
        <v>38</v>
      </c>
      <c r="V7" s="23">
        <f t="shared" si="3"/>
        <v>0.25</v>
      </c>
      <c r="W7" s="23">
        <f t="shared" si="4"/>
        <v>0.25</v>
      </c>
    </row>
    <row r="8" spans="1:25" ht="15.75" thickBot="1" x14ac:dyDescent="0.3">
      <c r="A8" s="111" t="s">
        <v>49</v>
      </c>
      <c r="B8" s="112" t="s">
        <v>53</v>
      </c>
      <c r="C8" s="113" t="s">
        <v>54</v>
      </c>
      <c r="D8" s="114">
        <v>47</v>
      </c>
      <c r="E8" s="115">
        <v>1.6</v>
      </c>
      <c r="F8" s="116">
        <v>0</v>
      </c>
      <c r="G8" s="117">
        <v>0</v>
      </c>
      <c r="H8" s="117">
        <v>0</v>
      </c>
      <c r="I8" s="117">
        <v>0</v>
      </c>
      <c r="J8" s="117">
        <v>0</v>
      </c>
      <c r="K8" s="259">
        <f t="shared" si="0"/>
        <v>0</v>
      </c>
      <c r="L8" s="117">
        <v>1.6</v>
      </c>
      <c r="M8" s="120"/>
      <c r="N8" s="120"/>
      <c r="O8" s="120"/>
      <c r="P8" s="256">
        <f t="shared" si="1"/>
        <v>1.6</v>
      </c>
      <c r="Q8" s="120"/>
      <c r="R8" s="120"/>
      <c r="S8" s="120">
        <v>0</v>
      </c>
      <c r="T8" s="260">
        <f t="shared" si="2"/>
        <v>0</v>
      </c>
      <c r="U8" s="121" t="s">
        <v>38</v>
      </c>
      <c r="V8" s="125">
        <f t="shared" si="3"/>
        <v>0.8</v>
      </c>
      <c r="W8" s="125">
        <f t="shared" si="4"/>
        <v>0.8</v>
      </c>
    </row>
    <row r="9" spans="1:25" x14ac:dyDescent="0.25">
      <c r="A9" s="99" t="s">
        <v>57</v>
      </c>
      <c r="B9" s="126" t="s">
        <v>58</v>
      </c>
      <c r="C9" s="17" t="s">
        <v>59</v>
      </c>
      <c r="D9" s="100" t="s">
        <v>134</v>
      </c>
      <c r="E9" s="127">
        <v>58.1</v>
      </c>
      <c r="F9" s="128">
        <v>0</v>
      </c>
      <c r="G9" s="129">
        <v>0</v>
      </c>
      <c r="H9" s="89">
        <v>0</v>
      </c>
      <c r="I9" s="89">
        <v>50</v>
      </c>
      <c r="J9" s="129">
        <v>8.1</v>
      </c>
      <c r="K9" s="65">
        <f t="shared" si="0"/>
        <v>58.1</v>
      </c>
      <c r="L9" s="89">
        <v>0</v>
      </c>
      <c r="M9" s="94"/>
      <c r="N9" s="94"/>
      <c r="O9" s="94"/>
      <c r="P9" s="256">
        <f t="shared" si="1"/>
        <v>0</v>
      </c>
      <c r="Q9" s="94"/>
      <c r="R9" s="94"/>
      <c r="S9" s="94">
        <v>0</v>
      </c>
      <c r="T9" s="261">
        <f t="shared" si="2"/>
        <v>0</v>
      </c>
      <c r="U9" s="133" t="s">
        <v>35</v>
      </c>
      <c r="V9" s="134">
        <f t="shared" si="3"/>
        <v>35.487479999999998</v>
      </c>
      <c r="W9" s="134">
        <f>E9-V9</f>
        <v>22.612520000000004</v>
      </c>
    </row>
    <row r="10" spans="1:25" x14ac:dyDescent="0.25">
      <c r="A10" s="135" t="s">
        <v>57</v>
      </c>
      <c r="B10" s="136" t="s">
        <v>58</v>
      </c>
      <c r="C10" s="137" t="s">
        <v>135</v>
      </c>
      <c r="D10" s="100" t="s">
        <v>134</v>
      </c>
      <c r="E10" s="127">
        <v>5.9</v>
      </c>
      <c r="F10" s="88">
        <v>0</v>
      </c>
      <c r="G10" s="89">
        <v>0</v>
      </c>
      <c r="H10" s="129">
        <v>0</v>
      </c>
      <c r="I10" s="129">
        <v>0</v>
      </c>
      <c r="J10" s="129">
        <v>5.9</v>
      </c>
      <c r="K10" s="256">
        <f t="shared" si="0"/>
        <v>5.9</v>
      </c>
      <c r="L10" s="129">
        <v>0</v>
      </c>
      <c r="M10" s="139"/>
      <c r="N10" s="139"/>
      <c r="O10" s="139"/>
      <c r="P10" s="256">
        <f t="shared" si="1"/>
        <v>0</v>
      </c>
      <c r="Q10" s="139"/>
      <c r="R10" s="139"/>
      <c r="S10" s="139">
        <v>0</v>
      </c>
      <c r="T10" s="258">
        <f t="shared" si="2"/>
        <v>0</v>
      </c>
      <c r="U10" s="142" t="s">
        <v>38</v>
      </c>
      <c r="V10" s="23">
        <f t="shared" si="3"/>
        <v>2.95</v>
      </c>
      <c r="W10" s="23">
        <f t="shared" si="4"/>
        <v>2.95</v>
      </c>
    </row>
    <row r="11" spans="1:25" x14ac:dyDescent="0.25">
      <c r="A11" s="143" t="s">
        <v>57</v>
      </c>
      <c r="B11" s="136" t="s">
        <v>58</v>
      </c>
      <c r="C11" s="17" t="s">
        <v>61</v>
      </c>
      <c r="D11" s="100">
        <v>18</v>
      </c>
      <c r="E11" s="127">
        <v>1</v>
      </c>
      <c r="F11" s="88">
        <v>0</v>
      </c>
      <c r="G11" s="89">
        <v>0</v>
      </c>
      <c r="H11" s="89">
        <v>0</v>
      </c>
      <c r="I11" s="89">
        <v>0</v>
      </c>
      <c r="J11" s="89">
        <v>1</v>
      </c>
      <c r="K11" s="256">
        <f t="shared" si="0"/>
        <v>1</v>
      </c>
      <c r="L11" s="89">
        <v>0</v>
      </c>
      <c r="M11" s="94"/>
      <c r="N11" s="94"/>
      <c r="O11" s="94"/>
      <c r="P11" s="256">
        <f t="shared" si="1"/>
        <v>0</v>
      </c>
      <c r="Q11" s="94"/>
      <c r="R11" s="94"/>
      <c r="S11" s="94">
        <v>0</v>
      </c>
      <c r="T11" s="258">
        <f t="shared" si="2"/>
        <v>0</v>
      </c>
      <c r="U11" s="29" t="s">
        <v>38</v>
      </c>
      <c r="V11" s="23">
        <f t="shared" si="3"/>
        <v>0.5</v>
      </c>
      <c r="W11" s="23">
        <f t="shared" si="4"/>
        <v>0.5</v>
      </c>
      <c r="Y11" s="145"/>
    </row>
    <row r="12" spans="1:25" x14ac:dyDescent="0.25">
      <c r="A12" s="146" t="s">
        <v>57</v>
      </c>
      <c r="B12" s="147" t="s">
        <v>62</v>
      </c>
      <c r="C12" s="148" t="s">
        <v>65</v>
      </c>
      <c r="D12" s="100">
        <v>18</v>
      </c>
      <c r="E12" s="108">
        <v>1</v>
      </c>
      <c r="F12" s="88">
        <v>0</v>
      </c>
      <c r="G12" s="89">
        <v>0</v>
      </c>
      <c r="H12" s="89">
        <v>0</v>
      </c>
      <c r="I12" s="89">
        <v>0</v>
      </c>
      <c r="J12" s="89">
        <v>0.2</v>
      </c>
      <c r="K12" s="256">
        <f t="shared" si="0"/>
        <v>0.2</v>
      </c>
      <c r="L12" s="89">
        <v>0.6</v>
      </c>
      <c r="M12" s="94"/>
      <c r="N12" s="94"/>
      <c r="O12" s="94"/>
      <c r="P12" s="256">
        <f t="shared" si="1"/>
        <v>0.6</v>
      </c>
      <c r="Q12" s="94"/>
      <c r="R12" s="94"/>
      <c r="S12" s="94">
        <v>0.2</v>
      </c>
      <c r="T12" s="258">
        <f t="shared" si="2"/>
        <v>0.2</v>
      </c>
      <c r="U12" s="29" t="s">
        <v>38</v>
      </c>
      <c r="V12" s="23">
        <f t="shared" si="3"/>
        <v>0.5</v>
      </c>
      <c r="W12" s="23">
        <f t="shared" si="4"/>
        <v>0.5</v>
      </c>
    </row>
    <row r="13" spans="1:25" x14ac:dyDescent="0.25">
      <c r="A13" s="143" t="s">
        <v>57</v>
      </c>
      <c r="B13" s="151" t="s">
        <v>62</v>
      </c>
      <c r="C13" s="137" t="s">
        <v>63</v>
      </c>
      <c r="D13" s="152" t="s">
        <v>136</v>
      </c>
      <c r="E13" s="127">
        <v>3</v>
      </c>
      <c r="F13" s="128">
        <v>0</v>
      </c>
      <c r="G13" s="129">
        <v>0</v>
      </c>
      <c r="H13" s="129">
        <v>0</v>
      </c>
      <c r="I13" s="129">
        <v>0</v>
      </c>
      <c r="J13" s="129">
        <v>0.2</v>
      </c>
      <c r="K13" s="256">
        <f t="shared" si="0"/>
        <v>0.2</v>
      </c>
      <c r="L13" s="129">
        <v>1.8</v>
      </c>
      <c r="M13" s="139"/>
      <c r="N13" s="139"/>
      <c r="O13" s="139"/>
      <c r="P13" s="262">
        <f t="shared" si="1"/>
        <v>1.8</v>
      </c>
      <c r="Q13" s="139"/>
      <c r="R13" s="139"/>
      <c r="S13" s="139">
        <v>1</v>
      </c>
      <c r="T13" s="257">
        <f t="shared" si="2"/>
        <v>1</v>
      </c>
      <c r="U13" s="133" t="s">
        <v>38</v>
      </c>
      <c r="V13" s="23">
        <f t="shared" si="3"/>
        <v>1.5</v>
      </c>
      <c r="W13" s="23">
        <f t="shared" si="4"/>
        <v>1.5</v>
      </c>
    </row>
    <row r="14" spans="1:25" ht="15.75" thickBot="1" x14ac:dyDescent="0.3">
      <c r="A14" s="143" t="s">
        <v>57</v>
      </c>
      <c r="B14" s="154" t="s">
        <v>62</v>
      </c>
      <c r="C14" s="113" t="s">
        <v>64</v>
      </c>
      <c r="D14" s="114">
        <v>20</v>
      </c>
      <c r="E14" s="115">
        <v>3</v>
      </c>
      <c r="F14" s="88">
        <v>0</v>
      </c>
      <c r="G14" s="89">
        <v>0</v>
      </c>
      <c r="H14" s="117">
        <v>0</v>
      </c>
      <c r="I14" s="117">
        <v>0</v>
      </c>
      <c r="J14" s="117">
        <v>0.2</v>
      </c>
      <c r="K14" s="263">
        <f t="shared" si="0"/>
        <v>0.2</v>
      </c>
      <c r="L14" s="117">
        <v>1.8</v>
      </c>
      <c r="M14" s="120"/>
      <c r="N14" s="120"/>
      <c r="O14" s="120"/>
      <c r="P14" s="263">
        <f t="shared" si="1"/>
        <v>1.8</v>
      </c>
      <c r="Q14" s="120"/>
      <c r="R14" s="120"/>
      <c r="S14" s="120">
        <v>1</v>
      </c>
      <c r="T14" s="260">
        <f t="shared" si="2"/>
        <v>1</v>
      </c>
      <c r="U14" s="49" t="s">
        <v>38</v>
      </c>
      <c r="V14" s="125">
        <f t="shared" si="3"/>
        <v>1.5</v>
      </c>
      <c r="W14" s="125">
        <f t="shared" si="4"/>
        <v>1.5</v>
      </c>
    </row>
    <row r="15" spans="1:25" ht="30.75" thickBot="1" x14ac:dyDescent="0.3">
      <c r="A15" s="157" t="s">
        <v>45</v>
      </c>
      <c r="B15" s="158" t="s">
        <v>33</v>
      </c>
      <c r="C15" s="159" t="s">
        <v>46</v>
      </c>
      <c r="D15" s="160">
        <v>28</v>
      </c>
      <c r="E15" s="161">
        <v>4</v>
      </c>
      <c r="F15" s="162">
        <v>0</v>
      </c>
      <c r="G15" s="163">
        <v>0</v>
      </c>
      <c r="H15" s="164">
        <v>0</v>
      </c>
      <c r="I15" s="164">
        <v>4</v>
      </c>
      <c r="J15" s="164">
        <v>0</v>
      </c>
      <c r="K15" s="264">
        <f t="shared" si="0"/>
        <v>4</v>
      </c>
      <c r="L15" s="164">
        <v>0</v>
      </c>
      <c r="M15" s="167"/>
      <c r="N15" s="167"/>
      <c r="O15" s="167"/>
      <c r="P15" s="264">
        <f t="shared" si="1"/>
        <v>0</v>
      </c>
      <c r="Q15" s="167"/>
      <c r="R15" s="167"/>
      <c r="S15" s="167">
        <v>0</v>
      </c>
      <c r="T15" s="265">
        <f t="shared" si="2"/>
        <v>0</v>
      </c>
      <c r="U15" s="172" t="s">
        <v>38</v>
      </c>
      <c r="V15" s="174">
        <f t="shared" si="3"/>
        <v>2</v>
      </c>
      <c r="W15" s="174">
        <f t="shared" si="4"/>
        <v>2</v>
      </c>
    </row>
    <row r="16" spans="1:25" x14ac:dyDescent="0.25">
      <c r="A16" s="175" t="s">
        <v>36</v>
      </c>
      <c r="B16" s="126" t="s">
        <v>43</v>
      </c>
      <c r="C16" s="176" t="s">
        <v>44</v>
      </c>
      <c r="D16" s="177" t="s">
        <v>137</v>
      </c>
      <c r="E16" s="178">
        <v>0.25</v>
      </c>
      <c r="F16" s="179">
        <v>0</v>
      </c>
      <c r="G16" s="180">
        <v>0</v>
      </c>
      <c r="H16" s="181">
        <v>0</v>
      </c>
      <c r="I16" s="181">
        <v>0</v>
      </c>
      <c r="J16" s="181">
        <v>0</v>
      </c>
      <c r="K16" s="65">
        <v>0</v>
      </c>
      <c r="L16" s="180">
        <v>0.25</v>
      </c>
      <c r="M16" s="183"/>
      <c r="N16" s="183"/>
      <c r="O16" s="183"/>
      <c r="P16" s="65">
        <v>0.25</v>
      </c>
      <c r="Q16" s="184"/>
      <c r="R16" s="184"/>
      <c r="S16" s="184">
        <v>0</v>
      </c>
      <c r="T16" s="266">
        <v>0</v>
      </c>
      <c r="U16" s="186" t="s">
        <v>38</v>
      </c>
      <c r="V16" s="58">
        <v>0.125</v>
      </c>
      <c r="W16" s="58">
        <v>0.125</v>
      </c>
    </row>
    <row r="17" spans="1:23" ht="30" x14ac:dyDescent="0.25">
      <c r="A17" s="187" t="s">
        <v>36</v>
      </c>
      <c r="B17" s="188" t="s">
        <v>33</v>
      </c>
      <c r="C17" s="137" t="s">
        <v>39</v>
      </c>
      <c r="D17" s="152" t="s">
        <v>137</v>
      </c>
      <c r="E17" s="189">
        <v>5</v>
      </c>
      <c r="F17" s="128">
        <v>0</v>
      </c>
      <c r="G17" s="129">
        <v>0</v>
      </c>
      <c r="H17" s="190">
        <v>0</v>
      </c>
      <c r="I17" s="190">
        <v>0</v>
      </c>
      <c r="J17" s="190">
        <v>0</v>
      </c>
      <c r="K17" s="256">
        <f t="shared" si="0"/>
        <v>0</v>
      </c>
      <c r="L17" s="195">
        <v>5</v>
      </c>
      <c r="M17" s="192"/>
      <c r="N17" s="192"/>
      <c r="O17" s="192"/>
      <c r="P17" s="256">
        <f t="shared" si="1"/>
        <v>5</v>
      </c>
      <c r="Q17" s="194"/>
      <c r="R17" s="194"/>
      <c r="S17" s="194">
        <v>0</v>
      </c>
      <c r="T17" s="258">
        <f t="shared" si="2"/>
        <v>0</v>
      </c>
      <c r="U17" s="29" t="s">
        <v>38</v>
      </c>
      <c r="V17" s="134">
        <f t="shared" si="3"/>
        <v>2.5</v>
      </c>
      <c r="W17" s="134">
        <f t="shared" si="4"/>
        <v>2.5</v>
      </c>
    </row>
    <row r="18" spans="1:23" ht="30" x14ac:dyDescent="0.25">
      <c r="A18" s="187" t="s">
        <v>36</v>
      </c>
      <c r="B18" s="188" t="s">
        <v>33</v>
      </c>
      <c r="C18" s="137" t="s">
        <v>37</v>
      </c>
      <c r="D18" s="152" t="s">
        <v>137</v>
      </c>
      <c r="E18" s="189">
        <v>1</v>
      </c>
      <c r="F18" s="128">
        <v>0</v>
      </c>
      <c r="G18" s="129">
        <v>0</v>
      </c>
      <c r="H18" s="195">
        <v>0</v>
      </c>
      <c r="I18" s="195">
        <v>0</v>
      </c>
      <c r="J18" s="195">
        <v>0</v>
      </c>
      <c r="K18" s="256">
        <f t="shared" si="0"/>
        <v>0</v>
      </c>
      <c r="L18" s="195">
        <v>1</v>
      </c>
      <c r="M18" s="192"/>
      <c r="N18" s="192"/>
      <c r="O18" s="192"/>
      <c r="P18" s="256">
        <f t="shared" si="1"/>
        <v>1</v>
      </c>
      <c r="Q18" s="192"/>
      <c r="R18" s="192"/>
      <c r="S18" s="192">
        <v>0</v>
      </c>
      <c r="T18" s="258">
        <f t="shared" si="2"/>
        <v>0</v>
      </c>
      <c r="U18" s="29" t="s">
        <v>38</v>
      </c>
      <c r="V18" s="23">
        <f t="shared" si="3"/>
        <v>0.5</v>
      </c>
      <c r="W18" s="23">
        <f t="shared" si="4"/>
        <v>0.5</v>
      </c>
    </row>
    <row r="19" spans="1:23" ht="30" x14ac:dyDescent="0.25">
      <c r="A19" s="187" t="s">
        <v>36</v>
      </c>
      <c r="B19" s="188" t="s">
        <v>33</v>
      </c>
      <c r="C19" s="17" t="s">
        <v>40</v>
      </c>
      <c r="D19" s="100" t="s">
        <v>138</v>
      </c>
      <c r="E19" s="108">
        <v>10.1</v>
      </c>
      <c r="F19" s="88">
        <v>0</v>
      </c>
      <c r="G19" s="89">
        <v>0</v>
      </c>
      <c r="H19" s="89">
        <v>0</v>
      </c>
      <c r="I19" s="89">
        <v>0</v>
      </c>
      <c r="J19" s="89">
        <v>0</v>
      </c>
      <c r="K19" s="256">
        <f t="shared" si="0"/>
        <v>0</v>
      </c>
      <c r="L19" s="89">
        <v>10.1</v>
      </c>
      <c r="M19" s="94"/>
      <c r="N19" s="94"/>
      <c r="O19" s="94"/>
      <c r="P19" s="256">
        <f t="shared" si="1"/>
        <v>10.1</v>
      </c>
      <c r="Q19" s="94"/>
      <c r="R19" s="94"/>
      <c r="S19" s="94">
        <v>0</v>
      </c>
      <c r="T19" s="258">
        <f t="shared" si="2"/>
        <v>0</v>
      </c>
      <c r="U19" s="49" t="s">
        <v>35</v>
      </c>
      <c r="V19" s="23">
        <f t="shared" si="3"/>
        <v>5.5428799999999994</v>
      </c>
      <c r="W19" s="23">
        <f t="shared" si="4"/>
        <v>4.5571200000000003</v>
      </c>
    </row>
    <row r="20" spans="1:23" ht="30" x14ac:dyDescent="0.25">
      <c r="A20" s="187" t="s">
        <v>36</v>
      </c>
      <c r="B20" s="188" t="s">
        <v>33</v>
      </c>
      <c r="C20" s="17" t="s">
        <v>41</v>
      </c>
      <c r="D20" s="100" t="s">
        <v>138</v>
      </c>
      <c r="E20" s="108">
        <v>1.5</v>
      </c>
      <c r="F20" s="88">
        <v>0</v>
      </c>
      <c r="G20" s="89">
        <v>0</v>
      </c>
      <c r="H20" s="89">
        <v>0</v>
      </c>
      <c r="I20" s="89">
        <v>0</v>
      </c>
      <c r="J20" s="89">
        <v>0</v>
      </c>
      <c r="K20" s="256">
        <f t="shared" si="0"/>
        <v>0</v>
      </c>
      <c r="L20" s="89">
        <v>1.5</v>
      </c>
      <c r="M20" s="94"/>
      <c r="N20" s="94"/>
      <c r="O20" s="94"/>
      <c r="P20" s="256">
        <f t="shared" si="1"/>
        <v>1.5</v>
      </c>
      <c r="Q20" s="94"/>
      <c r="R20" s="94"/>
      <c r="S20" s="94">
        <v>0</v>
      </c>
      <c r="T20" s="258">
        <f t="shared" si="2"/>
        <v>0</v>
      </c>
      <c r="U20" s="198" t="s">
        <v>38</v>
      </c>
      <c r="V20" s="23">
        <f t="shared" si="3"/>
        <v>0.75</v>
      </c>
      <c r="W20" s="23">
        <f t="shared" si="4"/>
        <v>0.75</v>
      </c>
    </row>
    <row r="21" spans="1:23" ht="30.75" thickBot="1" x14ac:dyDescent="0.3">
      <c r="A21" s="187" t="s">
        <v>36</v>
      </c>
      <c r="B21" s="188" t="s">
        <v>33</v>
      </c>
      <c r="C21" s="17" t="s">
        <v>42</v>
      </c>
      <c r="D21" s="199">
        <v>37</v>
      </c>
      <c r="E21" s="267">
        <v>1.1000000000000001</v>
      </c>
      <c r="F21" s="201">
        <v>0</v>
      </c>
      <c r="G21" s="202">
        <v>0</v>
      </c>
      <c r="H21" s="202">
        <v>0</v>
      </c>
      <c r="I21" s="202">
        <v>0</v>
      </c>
      <c r="J21" s="202">
        <v>0</v>
      </c>
      <c r="K21" s="256">
        <f t="shared" si="0"/>
        <v>0</v>
      </c>
      <c r="L21" s="202">
        <v>1.1000000000000001</v>
      </c>
      <c r="M21" s="205"/>
      <c r="N21" s="205"/>
      <c r="O21" s="205"/>
      <c r="P21" s="256">
        <f t="shared" si="1"/>
        <v>1.1000000000000001</v>
      </c>
      <c r="Q21" s="205"/>
      <c r="R21" s="205"/>
      <c r="S21" s="205">
        <v>0</v>
      </c>
      <c r="T21" s="258">
        <f t="shared" si="2"/>
        <v>0</v>
      </c>
      <c r="U21" s="198" t="s">
        <v>35</v>
      </c>
      <c r="V21" s="23">
        <f t="shared" si="3"/>
        <v>0.60367999999999999</v>
      </c>
      <c r="W21" s="23">
        <f t="shared" si="4"/>
        <v>0.49632000000000009</v>
      </c>
    </row>
    <row r="22" spans="1:23" ht="30.75" thickBot="1" x14ac:dyDescent="0.3">
      <c r="A22" s="208" t="s">
        <v>32</v>
      </c>
      <c r="B22" s="209" t="s">
        <v>33</v>
      </c>
      <c r="C22" s="210" t="s">
        <v>34</v>
      </c>
      <c r="D22" s="211" t="s">
        <v>139</v>
      </c>
      <c r="E22" s="268">
        <v>2</v>
      </c>
      <c r="F22" s="162">
        <v>0</v>
      </c>
      <c r="G22" s="163">
        <v>0</v>
      </c>
      <c r="H22" s="163">
        <v>0</v>
      </c>
      <c r="I22" s="163">
        <v>0</v>
      </c>
      <c r="J22" s="163">
        <v>0</v>
      </c>
      <c r="K22" s="269">
        <f t="shared" si="0"/>
        <v>0</v>
      </c>
      <c r="L22" s="163">
        <v>2</v>
      </c>
      <c r="M22" s="215"/>
      <c r="N22" s="215"/>
      <c r="O22" s="215"/>
      <c r="P22" s="270">
        <f t="shared" si="1"/>
        <v>2</v>
      </c>
      <c r="Q22" s="215"/>
      <c r="R22" s="215"/>
      <c r="S22" s="215">
        <v>0</v>
      </c>
      <c r="T22" s="265">
        <f t="shared" si="2"/>
        <v>0</v>
      </c>
      <c r="U22" s="172" t="s">
        <v>35</v>
      </c>
      <c r="V22" s="174">
        <f t="shared" si="3"/>
        <v>1.0975999999999999</v>
      </c>
      <c r="W22" s="174">
        <f t="shared" si="4"/>
        <v>0.90240000000000009</v>
      </c>
    </row>
    <row r="23" spans="1:23" ht="30.75" thickBot="1" x14ac:dyDescent="0.3">
      <c r="A23" s="218" t="s">
        <v>47</v>
      </c>
      <c r="B23" s="158" t="s">
        <v>33</v>
      </c>
      <c r="C23" s="159" t="s">
        <v>48</v>
      </c>
      <c r="D23" s="160" t="s">
        <v>140</v>
      </c>
      <c r="E23" s="161">
        <v>5</v>
      </c>
      <c r="F23" s="162">
        <v>0</v>
      </c>
      <c r="G23" s="163">
        <v>0</v>
      </c>
      <c r="H23" s="164">
        <v>0</v>
      </c>
      <c r="I23" s="164">
        <v>0</v>
      </c>
      <c r="J23" s="164">
        <v>2.5</v>
      </c>
      <c r="K23" s="264">
        <f t="shared" si="0"/>
        <v>2.5</v>
      </c>
      <c r="L23" s="164">
        <v>2.5</v>
      </c>
      <c r="M23" s="167"/>
      <c r="N23" s="167"/>
      <c r="O23" s="167"/>
      <c r="P23" s="270">
        <f t="shared" si="1"/>
        <v>2.5</v>
      </c>
      <c r="Q23" s="167"/>
      <c r="R23" s="167"/>
      <c r="S23" s="167">
        <v>0</v>
      </c>
      <c r="T23" s="271">
        <f t="shared" si="2"/>
        <v>0</v>
      </c>
      <c r="U23" s="172" t="s">
        <v>35</v>
      </c>
      <c r="V23" s="174">
        <f t="shared" si="3"/>
        <v>2.899</v>
      </c>
      <c r="W23" s="174">
        <f>E23-V23</f>
        <v>2.101</v>
      </c>
    </row>
    <row r="24" spans="1:23" ht="30.75" thickBot="1" x14ac:dyDescent="0.3">
      <c r="A24" s="218" t="s">
        <v>55</v>
      </c>
      <c r="B24" s="158" t="s">
        <v>33</v>
      </c>
      <c r="C24" s="159" t="s">
        <v>56</v>
      </c>
      <c r="D24" s="160" t="s">
        <v>141</v>
      </c>
      <c r="E24" s="161">
        <v>0.5</v>
      </c>
      <c r="F24" s="162">
        <v>0</v>
      </c>
      <c r="G24" s="163">
        <v>0</v>
      </c>
      <c r="H24" s="164">
        <v>0</v>
      </c>
      <c r="I24" s="164">
        <v>0</v>
      </c>
      <c r="J24" s="164">
        <v>0.05</v>
      </c>
      <c r="K24" s="269">
        <f t="shared" si="0"/>
        <v>0.05</v>
      </c>
      <c r="L24" s="164">
        <v>0.45</v>
      </c>
      <c r="M24" s="167"/>
      <c r="N24" s="167"/>
      <c r="O24" s="167"/>
      <c r="P24" s="270">
        <f t="shared" si="1"/>
        <v>0.45</v>
      </c>
      <c r="Q24" s="167"/>
      <c r="R24" s="167"/>
      <c r="S24" s="167">
        <v>0</v>
      </c>
      <c r="T24" s="265">
        <f t="shared" si="2"/>
        <v>0</v>
      </c>
      <c r="U24" s="172" t="s">
        <v>38</v>
      </c>
      <c r="V24" s="174">
        <f t="shared" si="3"/>
        <v>0.25</v>
      </c>
      <c r="W24" s="174">
        <f t="shared" si="4"/>
        <v>0.25</v>
      </c>
    </row>
    <row r="25" spans="1:23" ht="45.75" thickBot="1" x14ac:dyDescent="0.3">
      <c r="A25" s="218" t="s">
        <v>123</v>
      </c>
      <c r="B25" s="239" t="s">
        <v>124</v>
      </c>
      <c r="C25" s="240" t="s">
        <v>70</v>
      </c>
      <c r="D25" s="272"/>
      <c r="E25" s="251">
        <v>50.171280000000024</v>
      </c>
      <c r="F25" s="242">
        <v>0</v>
      </c>
      <c r="G25" s="243">
        <v>0</v>
      </c>
      <c r="H25" s="244">
        <v>0</v>
      </c>
      <c r="I25" s="244">
        <v>0</v>
      </c>
      <c r="J25" s="244">
        <v>0</v>
      </c>
      <c r="K25" s="270">
        <f t="shared" si="0"/>
        <v>0</v>
      </c>
      <c r="L25" s="244">
        <v>0</v>
      </c>
      <c r="M25" s="246"/>
      <c r="N25" s="246"/>
      <c r="O25" s="246">
        <f>P25</f>
        <v>33.447520000000019</v>
      </c>
      <c r="P25" s="273">
        <f>E25*2/3</f>
        <v>33.447520000000019</v>
      </c>
      <c r="Q25" s="246"/>
      <c r="R25" s="246"/>
      <c r="S25" s="246">
        <f>T25</f>
        <v>16.723760000000009</v>
      </c>
      <c r="T25" s="265">
        <f>E25*1/3</f>
        <v>16.723760000000009</v>
      </c>
      <c r="U25" s="172" t="s">
        <v>38</v>
      </c>
      <c r="V25" s="174">
        <f>W25</f>
        <v>25.085640000000012</v>
      </c>
      <c r="W25" s="174">
        <v>25.085640000000012</v>
      </c>
    </row>
    <row r="26" spans="1:23" ht="15.75" thickBot="1" x14ac:dyDescent="0.3">
      <c r="A26" s="218"/>
      <c r="B26" s="158"/>
      <c r="C26" s="210" t="s">
        <v>71</v>
      </c>
      <c r="D26" s="272"/>
      <c r="E26" s="251">
        <f t="shared" ref="E26:T26" si="5">SUM(E5:E25)</f>
        <v>159.42128000000002</v>
      </c>
      <c r="F26" s="251">
        <f t="shared" si="5"/>
        <v>0</v>
      </c>
      <c r="G26" s="251">
        <f t="shared" si="5"/>
        <v>0</v>
      </c>
      <c r="H26" s="251">
        <f t="shared" si="5"/>
        <v>0</v>
      </c>
      <c r="I26" s="251">
        <f t="shared" si="5"/>
        <v>54</v>
      </c>
      <c r="J26" s="251">
        <f t="shared" si="5"/>
        <v>19.45</v>
      </c>
      <c r="K26" s="70">
        <f t="shared" si="5"/>
        <v>73.45</v>
      </c>
      <c r="L26" s="251">
        <f t="shared" si="5"/>
        <v>33.6</v>
      </c>
      <c r="M26" s="251">
        <f t="shared" si="5"/>
        <v>0</v>
      </c>
      <c r="N26" s="251">
        <f t="shared" si="5"/>
        <v>0</v>
      </c>
      <c r="O26" s="251">
        <f t="shared" si="5"/>
        <v>33.447520000000019</v>
      </c>
      <c r="P26" s="38">
        <f t="shared" si="5"/>
        <v>67.04752000000002</v>
      </c>
      <c r="Q26" s="251">
        <f t="shared" si="5"/>
        <v>0</v>
      </c>
      <c r="R26" s="251">
        <f t="shared" si="5"/>
        <v>0</v>
      </c>
      <c r="S26" s="251">
        <f t="shared" si="5"/>
        <v>18.923760000000009</v>
      </c>
      <c r="T26" s="251">
        <f t="shared" si="5"/>
        <v>18.923760000000009</v>
      </c>
      <c r="U26" s="253" t="s">
        <v>72</v>
      </c>
      <c r="V26" s="254">
        <f>SUM(V5:V25)</f>
        <v>87.191280000000006</v>
      </c>
      <c r="W26" s="254">
        <f>SUM(W5:W25)</f>
        <v>72.23</v>
      </c>
    </row>
    <row r="27" spans="1:23" x14ac:dyDescent="0.25">
      <c r="C27" s="74"/>
    </row>
    <row r="28" spans="1:23" x14ac:dyDescent="0.25">
      <c r="A28" s="75" t="s">
        <v>35</v>
      </c>
      <c r="C28" s="76"/>
      <c r="D28" s="255"/>
      <c r="E28" s="76"/>
      <c r="F28" s="76"/>
      <c r="G28" s="76"/>
      <c r="H28" s="76"/>
      <c r="I28" s="76"/>
      <c r="J28" s="76"/>
      <c r="K28" s="76">
        <f>SUMIFS(K$5:K$25,$U$5:$U$25,$A28)</f>
        <v>60.6</v>
      </c>
      <c r="L28" s="76"/>
      <c r="M28" s="76"/>
      <c r="N28" s="76"/>
      <c r="O28" s="76"/>
      <c r="P28" s="76">
        <f>SUMIFS(P$5:P$25,$U$5:$U$25,$A28)</f>
        <v>15.7</v>
      </c>
      <c r="Q28" s="76"/>
      <c r="R28" s="76"/>
      <c r="S28" s="76"/>
      <c r="T28" s="76">
        <f>SUMIFS(T$5:T$25,$U$5:$U$25,$A28)</f>
        <v>0</v>
      </c>
      <c r="U28" s="76"/>
      <c r="V28" s="76">
        <f>SUMIFS(V$5:V$25,$U$5:$U$25,$A28)</f>
        <v>45.630639999999993</v>
      </c>
      <c r="W28" s="76">
        <f>SUMIFS(W$5:W$25,$U$5:$U$25,$A28)</f>
        <v>30.669360000000005</v>
      </c>
    </row>
    <row r="29" spans="1:23" x14ac:dyDescent="0.25">
      <c r="A29" s="75" t="s">
        <v>38</v>
      </c>
      <c r="C29" s="76"/>
      <c r="D29" s="255"/>
      <c r="E29" s="76"/>
      <c r="F29" s="76"/>
      <c r="G29" s="76"/>
      <c r="H29" s="76"/>
      <c r="I29" s="76"/>
      <c r="J29" s="76"/>
      <c r="K29" s="76">
        <f>SUMIFS(K$5:K$25,$U$5:$U$25,$A29)</f>
        <v>12.849999999999998</v>
      </c>
      <c r="L29" s="76"/>
      <c r="M29" s="76"/>
      <c r="N29" s="76"/>
      <c r="O29" s="76"/>
      <c r="P29" s="76">
        <f>SUMIFS(P$5:P$25,$U$5:$U$25,$A29)</f>
        <v>51.347520000000017</v>
      </c>
      <c r="Q29" s="76"/>
      <c r="R29" s="76"/>
      <c r="S29" s="76"/>
      <c r="T29" s="76">
        <f>SUMIFS(T$5:T$25,$U$5:$U$25,$A29)</f>
        <v>18.923760000000009</v>
      </c>
      <c r="U29" s="76"/>
      <c r="V29" s="76">
        <f>SUMIFS(V$5:V$25,$U$5:$U$25,$A29)</f>
        <v>41.560640000000014</v>
      </c>
      <c r="W29" s="76">
        <f>SUMIFS(W$5:W$25,$U$5:$U$25,$A29)</f>
        <v>41.560640000000014</v>
      </c>
    </row>
  </sheetData>
  <mergeCells count="2">
    <mergeCell ref="F3:I3"/>
    <mergeCell ref="J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02FE-0F27-4CC8-B184-E35E5BE9B8EE}">
  <dimension ref="A1:X24"/>
  <sheetViews>
    <sheetView zoomScale="90" zoomScaleNormal="90" workbookViewId="0">
      <pane xSplit="4" topLeftCell="E1" activePane="topRight" state="frozen"/>
      <selection activeCell="F4" sqref="F4"/>
      <selection pane="topRight" activeCell="F4" sqref="F4"/>
    </sheetView>
  </sheetViews>
  <sheetFormatPr defaultRowHeight="15" outlineLevelCol="1" x14ac:dyDescent="0.25"/>
  <cols>
    <col min="1" max="1" width="21.42578125" customWidth="1"/>
    <col min="2" max="2" width="33" customWidth="1"/>
    <col min="3" max="3" width="65.85546875" customWidth="1"/>
    <col min="4" max="4" width="11.7109375" customWidth="1"/>
    <col min="5" max="5" width="14.28515625" customWidth="1"/>
    <col min="6" max="6" width="14.28515625" customWidth="1" outlineLevel="1"/>
    <col min="7" max="9" width="11.7109375" customWidth="1" outlineLevel="1"/>
    <col min="11" max="13" width="9.140625" customWidth="1" outlineLevel="1"/>
    <col min="14" max="14" width="10.7109375" customWidth="1" outlineLevel="1"/>
    <col min="16" max="18" width="10.7109375" customWidth="1" outlineLevel="1"/>
    <col min="19" max="19" width="12.140625" customWidth="1"/>
    <col min="20" max="22" width="21.7109375" customWidth="1"/>
  </cols>
  <sheetData>
    <row r="1" spans="1:24" x14ac:dyDescent="0.25">
      <c r="A1" t="s">
        <v>142</v>
      </c>
    </row>
    <row r="2" spans="1:24" x14ac:dyDescent="0.25">
      <c r="E2" s="382" t="s">
        <v>143</v>
      </c>
      <c r="F2" s="383"/>
      <c r="G2" s="383"/>
      <c r="H2" s="383"/>
      <c r="I2" s="384" t="s">
        <v>7</v>
      </c>
      <c r="J2" s="385"/>
      <c r="K2" s="385"/>
      <c r="L2" s="385"/>
      <c r="M2" s="385"/>
      <c r="N2" s="385"/>
      <c r="O2" s="385"/>
      <c r="P2" s="385"/>
      <c r="Q2" s="385"/>
      <c r="R2" s="385"/>
      <c r="S2" s="386"/>
    </row>
    <row r="3" spans="1:24" ht="60.75" thickBot="1" x14ac:dyDescent="0.3">
      <c r="A3" s="12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104</v>
      </c>
      <c r="G3" s="12" t="s">
        <v>129</v>
      </c>
      <c r="H3" s="12" t="s">
        <v>106</v>
      </c>
      <c r="I3" s="12" t="s">
        <v>113</v>
      </c>
      <c r="J3" s="13" t="s">
        <v>13</v>
      </c>
      <c r="K3" s="12" t="s">
        <v>108</v>
      </c>
      <c r="L3" s="12" t="s">
        <v>130</v>
      </c>
      <c r="M3" s="12" t="s">
        <v>16</v>
      </c>
      <c r="N3" s="12" t="s">
        <v>17</v>
      </c>
      <c r="O3" s="13" t="s">
        <v>114</v>
      </c>
      <c r="P3" s="12" t="s">
        <v>115</v>
      </c>
      <c r="Q3" s="12" t="s">
        <v>131</v>
      </c>
      <c r="R3" s="12" t="s">
        <v>21</v>
      </c>
      <c r="S3" s="12" t="s">
        <v>132</v>
      </c>
      <c r="T3" s="12" t="s">
        <v>29</v>
      </c>
      <c r="U3" s="12" t="s">
        <v>30</v>
      </c>
      <c r="V3" s="12" t="s">
        <v>31</v>
      </c>
    </row>
    <row r="4" spans="1:24" x14ac:dyDescent="0.25">
      <c r="A4" s="84" t="s">
        <v>49</v>
      </c>
      <c r="B4" s="85" t="s">
        <v>43</v>
      </c>
      <c r="C4" s="86" t="s">
        <v>50</v>
      </c>
      <c r="D4" s="101">
        <v>4.0999999999999996</v>
      </c>
      <c r="E4" s="88">
        <v>0</v>
      </c>
      <c r="F4" s="89">
        <v>0</v>
      </c>
      <c r="G4" s="89">
        <v>0</v>
      </c>
      <c r="H4" s="89">
        <v>0</v>
      </c>
      <c r="I4" s="89">
        <v>1</v>
      </c>
      <c r="J4" s="256">
        <v>1</v>
      </c>
      <c r="K4" s="89">
        <v>3.1</v>
      </c>
      <c r="L4" s="94"/>
      <c r="M4" s="94"/>
      <c r="N4" s="94"/>
      <c r="O4" s="256">
        <v>3.1</v>
      </c>
      <c r="P4" s="94"/>
      <c r="Q4" s="94"/>
      <c r="R4" s="94">
        <v>0</v>
      </c>
      <c r="S4" s="256">
        <v>0</v>
      </c>
      <c r="T4" s="94" t="s">
        <v>38</v>
      </c>
      <c r="U4" s="23">
        <f>IF(T4="BENEFITS",#REF!*E4+SUMPRODUCT(#REF!,F4:I4)+SUMPRODUCT(#REF!,K4:N4)+SUMPRODUCT(#REF!,P4:R4), IF(T4="ADMIN",D4*0.5,"DETERMINE MATCH"))</f>
        <v>2.0499999999999998</v>
      </c>
      <c r="V4" s="23">
        <f>D4-U4</f>
        <v>2.0499999999999998</v>
      </c>
    </row>
    <row r="5" spans="1:24" x14ac:dyDescent="0.25">
      <c r="A5" s="99" t="s">
        <v>49</v>
      </c>
      <c r="B5" s="16" t="s">
        <v>43</v>
      </c>
      <c r="C5" s="17" t="s">
        <v>51</v>
      </c>
      <c r="D5" s="101">
        <v>0.6</v>
      </c>
      <c r="E5" s="88">
        <v>0</v>
      </c>
      <c r="F5" s="89">
        <v>0</v>
      </c>
      <c r="G5" s="89">
        <v>0</v>
      </c>
      <c r="H5" s="89">
        <v>0</v>
      </c>
      <c r="I5" s="89">
        <v>0.3</v>
      </c>
      <c r="J5" s="256">
        <v>0.3</v>
      </c>
      <c r="K5" s="89">
        <v>0.3</v>
      </c>
      <c r="L5" s="94"/>
      <c r="M5" s="94"/>
      <c r="N5" s="94"/>
      <c r="O5" s="256">
        <v>0.3</v>
      </c>
      <c r="P5" s="94"/>
      <c r="Q5" s="94"/>
      <c r="R5" s="94">
        <v>0</v>
      </c>
      <c r="S5" s="256">
        <v>0</v>
      </c>
      <c r="T5" s="94" t="s">
        <v>38</v>
      </c>
      <c r="U5" s="23">
        <f>IF(T5="BENEFITS",#REF!*E5+SUMPRODUCT(#REF!,F5:I5)+SUMPRODUCT(#REF!,K5:N5)+SUMPRODUCT(#REF!,P5:R5), IF(T5="ADMIN",D5*0.5,"DETERMINE MATCH"))</f>
        <v>0.3</v>
      </c>
      <c r="V5" s="23">
        <f t="shared" ref="V5:V22" si="0">D5-U5</f>
        <v>0.3</v>
      </c>
    </row>
    <row r="6" spans="1:24" x14ac:dyDescent="0.25">
      <c r="A6" s="99" t="s">
        <v>49</v>
      </c>
      <c r="B6" s="107" t="s">
        <v>43</v>
      </c>
      <c r="C6" s="17" t="s">
        <v>52</v>
      </c>
      <c r="D6" s="108">
        <v>0.5</v>
      </c>
      <c r="E6" s="88">
        <v>0</v>
      </c>
      <c r="F6" s="89">
        <v>0</v>
      </c>
      <c r="G6" s="89">
        <v>0</v>
      </c>
      <c r="H6" s="89">
        <v>0</v>
      </c>
      <c r="I6" s="89">
        <v>0</v>
      </c>
      <c r="J6" s="256">
        <v>0</v>
      </c>
      <c r="K6" s="89">
        <v>0.5</v>
      </c>
      <c r="L6" s="94"/>
      <c r="M6" s="94"/>
      <c r="N6" s="94"/>
      <c r="O6" s="256">
        <v>0.5</v>
      </c>
      <c r="P6" s="94"/>
      <c r="Q6" s="94"/>
      <c r="R6" s="94">
        <v>0</v>
      </c>
      <c r="S6" s="256">
        <v>0</v>
      </c>
      <c r="T6" s="94" t="s">
        <v>38</v>
      </c>
      <c r="U6" s="23">
        <f>IF(T6="BENEFITS",#REF!*E6+SUMPRODUCT(#REF!,F6:I6)+SUMPRODUCT(#REF!,K6:N6)+SUMPRODUCT(#REF!,P6:R6), IF(T6="ADMIN",D6*0.5,"DETERMINE MATCH"))</f>
        <v>0.25</v>
      </c>
      <c r="V6" s="23">
        <f t="shared" si="0"/>
        <v>0.25</v>
      </c>
    </row>
    <row r="7" spans="1:24" ht="15.75" thickBot="1" x14ac:dyDescent="0.3">
      <c r="A7" s="111" t="s">
        <v>49</v>
      </c>
      <c r="B7" s="112" t="s">
        <v>53</v>
      </c>
      <c r="C7" s="113" t="s">
        <v>54</v>
      </c>
      <c r="D7" s="115">
        <v>1.6</v>
      </c>
      <c r="E7" s="116">
        <v>0</v>
      </c>
      <c r="F7" s="117">
        <v>0</v>
      </c>
      <c r="G7" s="117">
        <v>0</v>
      </c>
      <c r="H7" s="117">
        <v>0</v>
      </c>
      <c r="I7" s="117">
        <v>0</v>
      </c>
      <c r="J7" s="263">
        <v>0</v>
      </c>
      <c r="K7" s="117">
        <v>1.6</v>
      </c>
      <c r="L7" s="120"/>
      <c r="M7" s="120"/>
      <c r="N7" s="120"/>
      <c r="O7" s="263">
        <v>1.6</v>
      </c>
      <c r="P7" s="120"/>
      <c r="Q7" s="120"/>
      <c r="R7" s="120">
        <v>0</v>
      </c>
      <c r="S7" s="263">
        <v>0</v>
      </c>
      <c r="T7" s="120" t="s">
        <v>38</v>
      </c>
      <c r="U7" s="125">
        <f>IF(T7="BENEFITS",#REF!*E7+SUMPRODUCT(#REF!,F7:I7)+SUMPRODUCT(#REF!,K7:N7)+SUMPRODUCT(#REF!,P7:R7), IF(T7="ADMIN",D7*0.5,"DETERMINE MATCH"))</f>
        <v>0.8</v>
      </c>
      <c r="V7" s="125">
        <f t="shared" si="0"/>
        <v>0.8</v>
      </c>
    </row>
    <row r="8" spans="1:24" ht="30" x14ac:dyDescent="0.25">
      <c r="A8" s="99" t="s">
        <v>57</v>
      </c>
      <c r="B8" s="126" t="s">
        <v>58</v>
      </c>
      <c r="C8" s="17" t="s">
        <v>59</v>
      </c>
      <c r="D8" s="108">
        <v>60</v>
      </c>
      <c r="E8" s="128">
        <v>0</v>
      </c>
      <c r="F8" s="129">
        <v>0</v>
      </c>
      <c r="G8" s="89">
        <v>0</v>
      </c>
      <c r="H8" s="89">
        <v>0</v>
      </c>
      <c r="I8" s="89">
        <v>60</v>
      </c>
      <c r="J8" s="256">
        <v>60</v>
      </c>
      <c r="K8" s="89">
        <v>0</v>
      </c>
      <c r="L8" s="94"/>
      <c r="M8" s="94"/>
      <c r="N8" s="94"/>
      <c r="O8" s="256">
        <v>0</v>
      </c>
      <c r="P8" s="94"/>
      <c r="Q8" s="94"/>
      <c r="R8" s="94">
        <v>0</v>
      </c>
      <c r="S8" s="256">
        <v>0</v>
      </c>
      <c r="T8" s="139" t="s">
        <v>35</v>
      </c>
      <c r="U8" s="134">
        <v>41.647999999999996</v>
      </c>
      <c r="V8" s="134">
        <v>18.352000000000004</v>
      </c>
    </row>
    <row r="9" spans="1:24" ht="30" x14ac:dyDescent="0.25">
      <c r="A9" s="135" t="s">
        <v>57</v>
      </c>
      <c r="B9" s="136" t="s">
        <v>58</v>
      </c>
      <c r="C9" s="137" t="s">
        <v>135</v>
      </c>
      <c r="D9" s="127">
        <v>4.5</v>
      </c>
      <c r="E9" s="88">
        <v>0</v>
      </c>
      <c r="F9" s="89">
        <v>0</v>
      </c>
      <c r="G9" s="129">
        <v>0</v>
      </c>
      <c r="H9" s="129">
        <v>0</v>
      </c>
      <c r="I9" s="129">
        <v>4.5</v>
      </c>
      <c r="J9" s="262">
        <v>4.5</v>
      </c>
      <c r="K9" s="129">
        <v>0</v>
      </c>
      <c r="L9" s="139"/>
      <c r="M9" s="139"/>
      <c r="N9" s="139"/>
      <c r="O9" s="262">
        <v>0</v>
      </c>
      <c r="P9" s="139"/>
      <c r="Q9" s="139"/>
      <c r="R9" s="139">
        <v>0</v>
      </c>
      <c r="S9" s="264">
        <v>0</v>
      </c>
      <c r="T9" s="184" t="s">
        <v>38</v>
      </c>
      <c r="U9" s="23">
        <f>IF(T9="BENEFITS",#REF!*E9+SUMPRODUCT(#REF!,F9:I9)+SUMPRODUCT(#REF!,K9:N9)+SUMPRODUCT(#REF!,P9:R9), IF(T9="ADMIN",D9*0.5,"DETERMINE MATCH"))</f>
        <v>2.25</v>
      </c>
      <c r="V9" s="23">
        <f t="shared" si="0"/>
        <v>2.25</v>
      </c>
    </row>
    <row r="10" spans="1:24" ht="30" x14ac:dyDescent="0.25">
      <c r="A10" s="143" t="s">
        <v>57</v>
      </c>
      <c r="B10" s="136" t="s">
        <v>58</v>
      </c>
      <c r="C10" s="17" t="s">
        <v>61</v>
      </c>
      <c r="D10" s="108">
        <v>1</v>
      </c>
      <c r="E10" s="88">
        <v>0</v>
      </c>
      <c r="F10" s="89">
        <v>0</v>
      </c>
      <c r="G10" s="89">
        <v>0</v>
      </c>
      <c r="H10" s="89">
        <v>0</v>
      </c>
      <c r="I10" s="89">
        <v>1</v>
      </c>
      <c r="J10" s="256">
        <v>1</v>
      </c>
      <c r="K10" s="89">
        <v>0</v>
      </c>
      <c r="L10" s="94"/>
      <c r="M10" s="94"/>
      <c r="N10" s="94"/>
      <c r="O10" s="256">
        <v>0</v>
      </c>
      <c r="P10" s="94"/>
      <c r="Q10" s="94"/>
      <c r="R10" s="94">
        <v>0</v>
      </c>
      <c r="S10" s="256">
        <v>0</v>
      </c>
      <c r="T10" s="94" t="s">
        <v>38</v>
      </c>
      <c r="U10" s="23">
        <f>IF(T10="BENEFITS",#REF!*E10+SUMPRODUCT(#REF!,F10:I10)+SUMPRODUCT(#REF!,K10:N10)+SUMPRODUCT(#REF!,P10:R10), IF(T10="ADMIN",D10*0.5,"DETERMINE MATCH"))</f>
        <v>0.5</v>
      </c>
      <c r="V10" s="23">
        <f t="shared" si="0"/>
        <v>0.5</v>
      </c>
      <c r="X10" s="145"/>
    </row>
    <row r="11" spans="1:24" ht="30" x14ac:dyDescent="0.25">
      <c r="A11" s="143" t="s">
        <v>57</v>
      </c>
      <c r="B11" s="147" t="s">
        <v>62</v>
      </c>
      <c r="C11" s="137" t="s">
        <v>63</v>
      </c>
      <c r="D11" s="127">
        <v>3</v>
      </c>
      <c r="E11" s="88">
        <v>0</v>
      </c>
      <c r="F11" s="89">
        <v>0</v>
      </c>
      <c r="G11" s="129">
        <v>0</v>
      </c>
      <c r="H11" s="129">
        <v>0</v>
      </c>
      <c r="I11" s="129">
        <v>0.2</v>
      </c>
      <c r="J11" s="262">
        <v>0.2</v>
      </c>
      <c r="K11" s="129">
        <v>1.8</v>
      </c>
      <c r="L11" s="139"/>
      <c r="M11" s="139"/>
      <c r="N11" s="139"/>
      <c r="O11" s="262">
        <v>1.8</v>
      </c>
      <c r="P11" s="139"/>
      <c r="Q11" s="139"/>
      <c r="R11" s="139">
        <v>1</v>
      </c>
      <c r="S11" s="256">
        <v>1</v>
      </c>
      <c r="T11" s="139" t="s">
        <v>38</v>
      </c>
      <c r="U11" s="23">
        <f>IF(T11="BENEFITS",#REF!*E11+SUMPRODUCT(#REF!,F11:I11)+SUMPRODUCT(#REF!,K11:N11)+SUMPRODUCT(#REF!,P11:R11), IF(T11="ADMIN",D11*0.5,"DETERMINE MATCH"))</f>
        <v>1.5</v>
      </c>
      <c r="V11" s="23">
        <f t="shared" si="0"/>
        <v>1.5</v>
      </c>
    </row>
    <row r="12" spans="1:24" ht="30" x14ac:dyDescent="0.25">
      <c r="A12" s="143" t="s">
        <v>57</v>
      </c>
      <c r="B12" s="147" t="s">
        <v>62</v>
      </c>
      <c r="C12" s="17" t="s">
        <v>64</v>
      </c>
      <c r="D12" s="108">
        <v>3</v>
      </c>
      <c r="E12" s="88">
        <v>0</v>
      </c>
      <c r="F12" s="89">
        <v>0</v>
      </c>
      <c r="G12" s="89">
        <v>0</v>
      </c>
      <c r="H12" s="89">
        <v>0</v>
      </c>
      <c r="I12" s="89">
        <v>0.2</v>
      </c>
      <c r="J12" s="256">
        <v>0.2</v>
      </c>
      <c r="K12" s="89">
        <v>1.8</v>
      </c>
      <c r="L12" s="94"/>
      <c r="M12" s="94"/>
      <c r="N12" s="94"/>
      <c r="O12" s="256">
        <v>1.8</v>
      </c>
      <c r="P12" s="94"/>
      <c r="Q12" s="94"/>
      <c r="R12" s="94">
        <v>1</v>
      </c>
      <c r="S12" s="256">
        <v>1</v>
      </c>
      <c r="T12" s="94" t="s">
        <v>38</v>
      </c>
      <c r="U12" s="23">
        <f>IF(T12="BENEFITS",#REF!*E12+SUMPRODUCT(#REF!,F12:I12)+SUMPRODUCT(#REF!,K12:N12)+SUMPRODUCT(#REF!,P12:R12), IF(T12="ADMIN",D12*0.5,"DETERMINE MATCH"))</f>
        <v>1.5</v>
      </c>
      <c r="V12" s="23">
        <f t="shared" si="0"/>
        <v>1.5</v>
      </c>
    </row>
    <row r="13" spans="1:24" ht="30.75" thickBot="1" x14ac:dyDescent="0.3">
      <c r="A13" s="146" t="s">
        <v>57</v>
      </c>
      <c r="B13" s="154" t="s">
        <v>62</v>
      </c>
      <c r="C13" s="113" t="s">
        <v>65</v>
      </c>
      <c r="D13" s="115">
        <v>1</v>
      </c>
      <c r="E13" s="116">
        <v>0</v>
      </c>
      <c r="F13" s="117">
        <v>0</v>
      </c>
      <c r="G13" s="117">
        <v>0</v>
      </c>
      <c r="H13" s="117">
        <v>0</v>
      </c>
      <c r="I13" s="117">
        <v>0.2</v>
      </c>
      <c r="J13" s="263">
        <v>0.2</v>
      </c>
      <c r="K13" s="117">
        <v>0.6</v>
      </c>
      <c r="L13" s="120"/>
      <c r="M13" s="120"/>
      <c r="N13" s="120"/>
      <c r="O13" s="263">
        <v>0.6</v>
      </c>
      <c r="P13" s="120"/>
      <c r="Q13" s="120"/>
      <c r="R13" s="120">
        <v>0.2</v>
      </c>
      <c r="S13" s="263">
        <v>0.2</v>
      </c>
      <c r="T13" s="120" t="s">
        <v>38</v>
      </c>
      <c r="U13" s="125">
        <f>IF(T13="BENEFITS",#REF!*E13+SUMPRODUCT(#REF!,F13:I13)+SUMPRODUCT(#REF!,K13:N13)+SUMPRODUCT(#REF!,P13:R13), IF(T13="ADMIN",D13*0.5,"DETERMINE MATCH"))</f>
        <v>0.5</v>
      </c>
      <c r="V13" s="125">
        <f t="shared" si="0"/>
        <v>0.5</v>
      </c>
    </row>
    <row r="14" spans="1:24" ht="30.75" thickBot="1" x14ac:dyDescent="0.3">
      <c r="A14" s="157" t="s">
        <v>45</v>
      </c>
      <c r="B14" s="158" t="s">
        <v>33</v>
      </c>
      <c r="C14" s="159" t="s">
        <v>46</v>
      </c>
      <c r="D14" s="161">
        <v>4</v>
      </c>
      <c r="E14" s="162">
        <v>0</v>
      </c>
      <c r="F14" s="163">
        <v>0</v>
      </c>
      <c r="G14" s="164">
        <v>0</v>
      </c>
      <c r="H14" s="164">
        <v>4</v>
      </c>
      <c r="I14" s="164">
        <v>4</v>
      </c>
      <c r="J14" s="274">
        <v>4</v>
      </c>
      <c r="K14" s="164">
        <v>0</v>
      </c>
      <c r="L14" s="167"/>
      <c r="M14" s="167"/>
      <c r="N14" s="167"/>
      <c r="O14" s="274">
        <v>0</v>
      </c>
      <c r="P14" s="167"/>
      <c r="Q14" s="167"/>
      <c r="R14" s="167">
        <v>0</v>
      </c>
      <c r="S14" s="274">
        <v>0</v>
      </c>
      <c r="T14" s="167" t="s">
        <v>38</v>
      </c>
      <c r="U14" s="174">
        <f>IF(T14="BENEFITS",#REF!*E14+SUMPRODUCT(#REF!,F14:I14)+SUMPRODUCT(#REF!,K14:N14)+SUMPRODUCT(#REF!,P14:R14), IF(T14="ADMIN",D14*0.5,"DETERMINE MATCH"))</f>
        <v>2</v>
      </c>
      <c r="V14" s="174">
        <f t="shared" si="0"/>
        <v>2</v>
      </c>
    </row>
    <row r="15" spans="1:24" ht="30" x14ac:dyDescent="0.25">
      <c r="A15" s="187" t="s">
        <v>36</v>
      </c>
      <c r="B15" s="188" t="s">
        <v>33</v>
      </c>
      <c r="C15" s="137" t="s">
        <v>39</v>
      </c>
      <c r="D15" s="189">
        <v>5</v>
      </c>
      <c r="E15" s="128">
        <v>0</v>
      </c>
      <c r="F15" s="129">
        <v>0</v>
      </c>
      <c r="G15" s="195">
        <v>0</v>
      </c>
      <c r="H15" s="195">
        <v>0</v>
      </c>
      <c r="I15" s="195">
        <v>0</v>
      </c>
      <c r="J15" s="275">
        <v>0</v>
      </c>
      <c r="K15" s="195">
        <v>5</v>
      </c>
      <c r="L15" s="192"/>
      <c r="M15" s="192"/>
      <c r="N15" s="192"/>
      <c r="O15" s="275">
        <v>5</v>
      </c>
      <c r="P15" s="192"/>
      <c r="Q15" s="192"/>
      <c r="R15" s="192">
        <v>0</v>
      </c>
      <c r="S15" s="275">
        <v>0</v>
      </c>
      <c r="T15" s="183" t="s">
        <v>38</v>
      </c>
      <c r="U15" s="134">
        <v>2.5</v>
      </c>
      <c r="V15" s="134">
        <v>2.5</v>
      </c>
    </row>
    <row r="16" spans="1:24" ht="30" x14ac:dyDescent="0.25">
      <c r="A16" s="187" t="s">
        <v>36</v>
      </c>
      <c r="B16" s="188" t="s">
        <v>33</v>
      </c>
      <c r="C16" s="137" t="s">
        <v>37</v>
      </c>
      <c r="D16" s="189">
        <v>1</v>
      </c>
      <c r="E16" s="128">
        <v>0</v>
      </c>
      <c r="F16" s="129">
        <v>0</v>
      </c>
      <c r="G16" s="195">
        <v>0</v>
      </c>
      <c r="H16" s="195">
        <v>0</v>
      </c>
      <c r="I16" s="195">
        <v>0</v>
      </c>
      <c r="J16" s="275">
        <v>0</v>
      </c>
      <c r="K16" s="195">
        <v>1</v>
      </c>
      <c r="L16" s="192"/>
      <c r="M16" s="192"/>
      <c r="N16" s="192"/>
      <c r="O16" s="275">
        <v>1</v>
      </c>
      <c r="P16" s="192"/>
      <c r="Q16" s="192"/>
      <c r="R16" s="192">
        <v>0</v>
      </c>
      <c r="S16" s="275">
        <v>0</v>
      </c>
      <c r="T16" s="94" t="s">
        <v>38</v>
      </c>
      <c r="U16" s="23">
        <v>0.5</v>
      </c>
      <c r="V16" s="23">
        <v>0.5</v>
      </c>
    </row>
    <row r="17" spans="1:23" ht="30" x14ac:dyDescent="0.25">
      <c r="A17" s="187" t="s">
        <v>36</v>
      </c>
      <c r="B17" s="188" t="s">
        <v>33</v>
      </c>
      <c r="C17" s="17" t="s">
        <v>40</v>
      </c>
      <c r="D17" s="108">
        <v>10.1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256">
        <v>0</v>
      </c>
      <c r="K17" s="89">
        <v>10.1</v>
      </c>
      <c r="L17" s="94"/>
      <c r="M17" s="94"/>
      <c r="N17" s="94"/>
      <c r="O17" s="256">
        <v>10.1</v>
      </c>
      <c r="P17" s="94"/>
      <c r="Q17" s="94"/>
      <c r="R17" s="94">
        <v>0</v>
      </c>
      <c r="S17" s="256">
        <v>0</v>
      </c>
      <c r="T17" s="205" t="s">
        <v>35</v>
      </c>
      <c r="U17" s="23">
        <v>5.5428799999999994</v>
      </c>
      <c r="V17" s="23">
        <v>4.5571200000000003</v>
      </c>
    </row>
    <row r="18" spans="1:23" ht="30" x14ac:dyDescent="0.25">
      <c r="A18" s="187" t="s">
        <v>36</v>
      </c>
      <c r="B18" s="188" t="s">
        <v>33</v>
      </c>
      <c r="C18" s="17" t="s">
        <v>41</v>
      </c>
      <c r="D18" s="108">
        <v>1.5</v>
      </c>
      <c r="E18" s="88">
        <v>0</v>
      </c>
      <c r="F18" s="89">
        <v>0</v>
      </c>
      <c r="G18" s="89">
        <v>0</v>
      </c>
      <c r="H18" s="89">
        <v>0</v>
      </c>
      <c r="I18" s="89">
        <v>0</v>
      </c>
      <c r="J18" s="256">
        <v>0</v>
      </c>
      <c r="K18" s="89">
        <v>1.5</v>
      </c>
      <c r="L18" s="94"/>
      <c r="M18" s="94"/>
      <c r="N18" s="94"/>
      <c r="O18" s="256">
        <v>1.5</v>
      </c>
      <c r="P18" s="94"/>
      <c r="Q18" s="94"/>
      <c r="R18" s="94">
        <v>0</v>
      </c>
      <c r="S18" s="276">
        <v>0</v>
      </c>
      <c r="T18" s="277" t="s">
        <v>38</v>
      </c>
      <c r="U18" s="23">
        <v>0.75</v>
      </c>
      <c r="V18" s="23">
        <v>0.75</v>
      </c>
    </row>
    <row r="19" spans="1:23" ht="30" x14ac:dyDescent="0.25">
      <c r="A19" s="187" t="s">
        <v>36</v>
      </c>
      <c r="B19" s="188" t="s">
        <v>33</v>
      </c>
      <c r="C19" s="17" t="s">
        <v>42</v>
      </c>
      <c r="D19" s="267">
        <v>1.1000000000000001</v>
      </c>
      <c r="E19" s="201">
        <v>0</v>
      </c>
      <c r="F19" s="202">
        <v>0</v>
      </c>
      <c r="G19" s="202">
        <v>0</v>
      </c>
      <c r="H19" s="202">
        <v>0</v>
      </c>
      <c r="I19" s="202">
        <v>0</v>
      </c>
      <c r="J19" s="278">
        <v>0</v>
      </c>
      <c r="K19" s="202">
        <v>1.1000000000000001</v>
      </c>
      <c r="L19" s="205"/>
      <c r="M19" s="205"/>
      <c r="N19" s="205"/>
      <c r="O19" s="259">
        <v>1.1000000000000001</v>
      </c>
      <c r="P19" s="205"/>
      <c r="Q19" s="205"/>
      <c r="R19" s="205">
        <v>0</v>
      </c>
      <c r="S19" s="279">
        <v>0</v>
      </c>
      <c r="T19" s="277" t="s">
        <v>35</v>
      </c>
      <c r="U19" s="23">
        <v>0.60367999999999999</v>
      </c>
      <c r="V19" s="23">
        <v>0.49632000000000009</v>
      </c>
    </row>
    <row r="20" spans="1:23" ht="15.75" thickBot="1" x14ac:dyDescent="0.3">
      <c r="A20" s="187" t="s">
        <v>36</v>
      </c>
      <c r="B20" s="280" t="s">
        <v>43</v>
      </c>
      <c r="C20" s="113" t="s">
        <v>44</v>
      </c>
      <c r="D20" s="115">
        <v>0.25</v>
      </c>
      <c r="E20" s="116">
        <v>0</v>
      </c>
      <c r="F20" s="117">
        <v>0</v>
      </c>
      <c r="G20" s="117">
        <v>0</v>
      </c>
      <c r="H20" s="117">
        <v>0</v>
      </c>
      <c r="I20" s="117">
        <v>0</v>
      </c>
      <c r="J20" s="263">
        <v>0</v>
      </c>
      <c r="K20" s="117">
        <v>0.25</v>
      </c>
      <c r="L20" s="120"/>
      <c r="M20" s="120"/>
      <c r="N20" s="120"/>
      <c r="O20" s="263">
        <v>0.25</v>
      </c>
      <c r="P20" s="120"/>
      <c r="Q20" s="120"/>
      <c r="R20" s="120">
        <v>0</v>
      </c>
      <c r="S20" s="263">
        <v>0</v>
      </c>
      <c r="T20" s="167" t="s">
        <v>38</v>
      </c>
      <c r="U20" s="125">
        <f>IF(T20="BENEFITS",#REF!*E20+SUMPRODUCT(#REF!,F20:I20)+SUMPRODUCT(#REF!,K20:N20)+SUMPRODUCT(#REF!,P20:R20), IF(T20="ADMIN",D20*0.5,"DETERMINE MATCH"))</f>
        <v>0.125</v>
      </c>
      <c r="V20" s="125">
        <f t="shared" si="0"/>
        <v>0.125</v>
      </c>
    </row>
    <row r="21" spans="1:23" ht="30.75" thickBot="1" x14ac:dyDescent="0.3">
      <c r="A21" s="208" t="s">
        <v>32</v>
      </c>
      <c r="B21" s="209" t="s">
        <v>33</v>
      </c>
      <c r="C21" s="210" t="s">
        <v>34</v>
      </c>
      <c r="D21" s="268">
        <v>2</v>
      </c>
      <c r="E21" s="162">
        <v>0</v>
      </c>
      <c r="F21" s="163">
        <v>0</v>
      </c>
      <c r="G21" s="163">
        <v>0</v>
      </c>
      <c r="H21" s="163">
        <v>0</v>
      </c>
      <c r="I21" s="163">
        <v>0</v>
      </c>
      <c r="J21" s="269">
        <v>0</v>
      </c>
      <c r="K21" s="163">
        <v>2</v>
      </c>
      <c r="L21" s="215"/>
      <c r="M21" s="215"/>
      <c r="N21" s="215"/>
      <c r="O21" s="269">
        <v>2</v>
      </c>
      <c r="P21" s="215"/>
      <c r="Q21" s="215"/>
      <c r="R21" s="215">
        <v>0</v>
      </c>
      <c r="S21" s="269">
        <v>0</v>
      </c>
      <c r="T21" s="215" t="s">
        <v>35</v>
      </c>
      <c r="U21" s="174">
        <v>1.0975999999999999</v>
      </c>
      <c r="V21" s="174">
        <v>0.90240000000000009</v>
      </c>
    </row>
    <row r="22" spans="1:23" ht="30.75" thickBot="1" x14ac:dyDescent="0.3">
      <c r="A22" s="218" t="s">
        <v>55</v>
      </c>
      <c r="B22" s="158" t="s">
        <v>33</v>
      </c>
      <c r="C22" s="159" t="s">
        <v>56</v>
      </c>
      <c r="D22" s="161">
        <v>0.5</v>
      </c>
      <c r="E22" s="162">
        <v>0</v>
      </c>
      <c r="F22" s="163">
        <v>0</v>
      </c>
      <c r="G22" s="164">
        <v>0</v>
      </c>
      <c r="H22" s="164">
        <v>0</v>
      </c>
      <c r="I22" s="164">
        <v>0.05</v>
      </c>
      <c r="J22" s="274">
        <v>0.05</v>
      </c>
      <c r="K22" s="164">
        <v>0.45</v>
      </c>
      <c r="L22" s="167"/>
      <c r="M22" s="167"/>
      <c r="N22" s="167"/>
      <c r="O22" s="274">
        <v>0.45</v>
      </c>
      <c r="P22" s="167"/>
      <c r="Q22" s="167"/>
      <c r="R22" s="167">
        <v>0</v>
      </c>
      <c r="S22" s="274">
        <v>0</v>
      </c>
      <c r="T22" s="215" t="s">
        <v>38</v>
      </c>
      <c r="U22" s="174">
        <f>IF(T22="BENEFITS",#REF!*E22+SUMPRODUCT(#REF!,F22:I22)+SUMPRODUCT(#REF!,K22:N22)+SUMPRODUCT(#REF!,P22:R22), IF(T22="ADMIN",D22*0.5,"DETERMINE MATCH"))</f>
        <v>0.25</v>
      </c>
      <c r="V22" s="174">
        <f t="shared" si="0"/>
        <v>0.25</v>
      </c>
    </row>
    <row r="23" spans="1:23" ht="30.75" thickBot="1" x14ac:dyDescent="0.3">
      <c r="A23" s="281" t="s">
        <v>47</v>
      </c>
      <c r="B23" s="282" t="s">
        <v>33</v>
      </c>
      <c r="C23" s="283" t="s">
        <v>48</v>
      </c>
      <c r="D23" s="219">
        <v>5</v>
      </c>
      <c r="E23" s="284">
        <v>0</v>
      </c>
      <c r="F23" s="285">
        <v>0</v>
      </c>
      <c r="G23" s="181">
        <v>0</v>
      </c>
      <c r="H23" s="181">
        <v>0</v>
      </c>
      <c r="I23" s="181">
        <v>2.5</v>
      </c>
      <c r="J23" s="264">
        <v>2.5</v>
      </c>
      <c r="K23" s="181">
        <v>2.5</v>
      </c>
      <c r="L23" s="184"/>
      <c r="M23" s="184"/>
      <c r="N23" s="184"/>
      <c r="O23" s="264">
        <v>2.5</v>
      </c>
      <c r="P23" s="184"/>
      <c r="Q23" s="184"/>
      <c r="R23" s="184">
        <v>0</v>
      </c>
      <c r="S23" s="264">
        <v>0</v>
      </c>
      <c r="T23" s="205" t="s">
        <v>35</v>
      </c>
      <c r="U23" s="286">
        <v>2.899</v>
      </c>
      <c r="V23" s="286">
        <v>2.101</v>
      </c>
    </row>
    <row r="24" spans="1:23" ht="33" customHeight="1" thickBot="1" x14ac:dyDescent="0.3">
      <c r="A24" s="287" t="s">
        <v>144</v>
      </c>
      <c r="B24" s="387" t="s">
        <v>145</v>
      </c>
      <c r="C24" s="388"/>
      <c r="D24" s="288" t="s">
        <v>146</v>
      </c>
      <c r="E24" s="289">
        <v>0</v>
      </c>
      <c r="F24" s="215">
        <v>0</v>
      </c>
      <c r="G24" s="215">
        <v>0</v>
      </c>
      <c r="H24" s="172">
        <v>0</v>
      </c>
      <c r="I24" s="215" t="s">
        <v>146</v>
      </c>
      <c r="J24" s="269" t="s">
        <v>146</v>
      </c>
      <c r="K24" s="290"/>
      <c r="L24" s="290"/>
      <c r="M24" s="290"/>
      <c r="N24" s="290"/>
      <c r="O24" s="269" t="s">
        <v>146</v>
      </c>
      <c r="P24" s="290"/>
      <c r="Q24" s="290"/>
      <c r="R24" s="290"/>
      <c r="S24" s="269" t="s">
        <v>146</v>
      </c>
      <c r="T24" s="215" t="s">
        <v>146</v>
      </c>
      <c r="U24" s="215" t="s">
        <v>146</v>
      </c>
      <c r="V24" s="291" t="s">
        <v>146</v>
      </c>
      <c r="W24" s="292"/>
    </row>
  </sheetData>
  <mergeCells count="3">
    <mergeCell ref="E2:H2"/>
    <mergeCell ref="I2:S2"/>
    <mergeCell ref="B24:C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19" ma:contentTypeDescription="Create a new document." ma:contentTypeScope="" ma:versionID="c8322529eda064e89ce0a3aafeb52cc1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079db614b8959d34c6aa9f49d3e32699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TaxCatchAll xmlns="7bdcdbe7-1b59-4267-ac42-6a538006b42e" xsi:nil="true"/>
    <Checked_x0020_Out xmlns="2d727684-7218-4c4c-b8f9-db706b5ec5c1">true</Checked_x0020_Out>
  </documentManagement>
</p:properties>
</file>

<file path=customXml/itemProps1.xml><?xml version="1.0" encoding="utf-8"?>
<ds:datastoreItem xmlns:ds="http://schemas.openxmlformats.org/officeDocument/2006/customXml" ds:itemID="{16C6E6C4-E4E5-4D49-B5AE-3B277E337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938166-7878-4A03-8A61-434EEBD659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08B8E-5AD7-47BE-8E61-E4EDA24E59C9}">
  <ds:schemaRefs>
    <ds:schemaRef ds:uri="http://schemas.microsoft.com/office/2006/metadata/properties"/>
    <ds:schemaRef ds:uri="http://purl.org/dc/terms/"/>
    <ds:schemaRef ds:uri="2d727684-7218-4c4c-b8f9-db706b5ec5c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bdcdbe7-1b59-4267-ac42-6a538006b42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 23 HCBS Spending Update</vt:lpstr>
      <vt:lpstr>Claiming</vt:lpstr>
      <vt:lpstr>OCT 22 HCBS Spending Update</vt:lpstr>
      <vt:lpstr>JUL 22 HCBS Spending Plan Upda</vt:lpstr>
      <vt:lpstr>APR 22 HCBS Spending Plan Updat</vt:lpstr>
      <vt:lpstr>JAN 22 HCBS Spending Plan Updat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Tse, Lisa (OHHS)</cp:lastModifiedBy>
  <cp:revision/>
  <dcterms:created xsi:type="dcterms:W3CDTF">2022-12-13T15:32:12Z</dcterms:created>
  <dcterms:modified xsi:type="dcterms:W3CDTF">2023-01-17T15:44:11Z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